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FEB 21" sheetId="4" r:id="rId1"/>
    <sheet name="Sheet1" sheetId="1" r:id="rId2"/>
    <sheet name="Sheet2" sheetId="2" r:id="rId3"/>
    <sheet name="Sheet3" sheetId="3" r:id="rId4"/>
  </sheets>
  <externalReferences>
    <externalReference r:id="rId5"/>
  </externalReferences>
  <definedNames>
    <definedName name="_xlnm._FilterDatabase" localSheetId="0" hidden="1">'FEB 21'!$B$5:$B$52</definedName>
    <definedName name="LstSection">[1]Master!$D$2:$D$4</definedName>
    <definedName name="_xlnm.Print_Area" localSheetId="0">'FEB 21'!$A$39:$X$45</definedName>
  </definedNames>
  <calcPr calcId="124519"/>
</workbook>
</file>

<file path=xl/calcChain.xml><?xml version="1.0" encoding="utf-8"?>
<calcChain xmlns="http://schemas.openxmlformats.org/spreadsheetml/2006/main">
  <c r="R50" i="4"/>
  <c r="Q50"/>
  <c r="P50"/>
  <c r="O50"/>
  <c r="K50"/>
  <c r="J50"/>
  <c r="I50"/>
  <c r="D50"/>
  <c r="E48"/>
  <c r="H48" s="1"/>
  <c r="AG43"/>
  <c r="AC43"/>
  <c r="AA43"/>
  <c r="U43"/>
  <c r="T43"/>
  <c r="S43"/>
  <c r="R43"/>
  <c r="Q43"/>
  <c r="P43"/>
  <c r="O43"/>
  <c r="K43"/>
  <c r="J43"/>
  <c r="I43"/>
  <c r="H43"/>
  <c r="D43"/>
  <c r="C43"/>
  <c r="L42"/>
  <c r="G42"/>
  <c r="Z42" s="1"/>
  <c r="F42"/>
  <c r="AB42" s="1"/>
  <c r="E42"/>
  <c r="L41"/>
  <c r="E41"/>
  <c r="F41" s="1"/>
  <c r="A41"/>
  <c r="A42" s="1"/>
  <c r="L40"/>
  <c r="L43" s="1"/>
  <c r="E40"/>
  <c r="F40" s="1"/>
  <c r="A40"/>
  <c r="AA39"/>
  <c r="AA38"/>
  <c r="AB37"/>
  <c r="V37"/>
  <c r="N37"/>
  <c r="M37"/>
  <c r="W37" s="1"/>
  <c r="F37"/>
  <c r="Y37" s="1"/>
  <c r="AA37" s="1"/>
  <c r="AB36"/>
  <c r="V36"/>
  <c r="W36" s="1"/>
  <c r="N36"/>
  <c r="M36"/>
  <c r="F36"/>
  <c r="Y36" s="1"/>
  <c r="AA36" s="1"/>
  <c r="AB35"/>
  <c r="V35"/>
  <c r="N35"/>
  <c r="M35"/>
  <c r="F35"/>
  <c r="AG34"/>
  <c r="AC34"/>
  <c r="AA34"/>
  <c r="U34"/>
  <c r="T34"/>
  <c r="R34"/>
  <c r="Q34"/>
  <c r="P34"/>
  <c r="O34"/>
  <c r="K34"/>
  <c r="J34"/>
  <c r="I34"/>
  <c r="E34"/>
  <c r="D34"/>
  <c r="C34"/>
  <c r="M33"/>
  <c r="F33"/>
  <c r="N33" s="1"/>
  <c r="V33" s="1"/>
  <c r="W33" s="1"/>
  <c r="Y32"/>
  <c r="AA32" s="1"/>
  <c r="M32"/>
  <c r="W32" s="1"/>
  <c r="F32"/>
  <c r="N32" s="1"/>
  <c r="V32" s="1"/>
  <c r="AB31"/>
  <c r="AA31"/>
  <c r="Y31"/>
  <c r="N31"/>
  <c r="V31" s="1"/>
  <c r="M31"/>
  <c r="W31" s="1"/>
  <c r="F31"/>
  <c r="AB30"/>
  <c r="V30"/>
  <c r="W30" s="1"/>
  <c r="N30"/>
  <c r="M30"/>
  <c r="F30"/>
  <c r="Y30" s="1"/>
  <c r="AA30" s="1"/>
  <c r="A30"/>
  <c r="A31" s="1"/>
  <c r="A32" s="1"/>
  <c r="A33" s="1"/>
  <c r="AA29"/>
  <c r="Y28"/>
  <c r="S28"/>
  <c r="S34" s="1"/>
  <c r="E28"/>
  <c r="F28" s="1"/>
  <c r="L27"/>
  <c r="L34" s="1"/>
  <c r="E27"/>
  <c r="F27" s="1"/>
  <c r="AA26"/>
  <c r="V26"/>
  <c r="F26"/>
  <c r="H25"/>
  <c r="H34" s="1"/>
  <c r="G25"/>
  <c r="F25"/>
  <c r="AB25" s="1"/>
  <c r="E25"/>
  <c r="AA24"/>
  <c r="AG23"/>
  <c r="AC23"/>
  <c r="AA23"/>
  <c r="U23"/>
  <c r="T23"/>
  <c r="S23"/>
  <c r="R23"/>
  <c r="Q23"/>
  <c r="P23"/>
  <c r="O23"/>
  <c r="K23"/>
  <c r="J23"/>
  <c r="I23"/>
  <c r="D23"/>
  <c r="C23"/>
  <c r="L22"/>
  <c r="L23" s="1"/>
  <c r="E22"/>
  <c r="C22"/>
  <c r="C50" s="1"/>
  <c r="F21"/>
  <c r="AB21" s="1"/>
  <c r="E21"/>
  <c r="G19"/>
  <c r="Z19" s="1"/>
  <c r="F19"/>
  <c r="AB19" s="1"/>
  <c r="E19"/>
  <c r="H19" s="1"/>
  <c r="H23" s="1"/>
  <c r="AB18"/>
  <c r="G18"/>
  <c r="Z18" s="1"/>
  <c r="F18"/>
  <c r="Y18" s="1"/>
  <c r="AA18" s="1"/>
  <c r="E18"/>
  <c r="AB17"/>
  <c r="G17"/>
  <c r="Z17" s="1"/>
  <c r="F17"/>
  <c r="Y17" s="1"/>
  <c r="AA17" s="1"/>
  <c r="E17"/>
  <c r="E23" s="1"/>
  <c r="AA15"/>
  <c r="AG14"/>
  <c r="AG45" s="1"/>
  <c r="AC14"/>
  <c r="AC45" s="1"/>
  <c r="AA14"/>
  <c r="U14"/>
  <c r="U45" s="1"/>
  <c r="T14"/>
  <c r="T45" s="1"/>
  <c r="R14"/>
  <c r="R45" s="1"/>
  <c r="Q14"/>
  <c r="Q45" s="1"/>
  <c r="P14"/>
  <c r="P45" s="1"/>
  <c r="O14"/>
  <c r="O45" s="1"/>
  <c r="K14"/>
  <c r="K45" s="1"/>
  <c r="J14"/>
  <c r="J45" s="1"/>
  <c r="I14"/>
  <c r="I45" s="1"/>
  <c r="D14"/>
  <c r="D45" s="1"/>
  <c r="C14"/>
  <c r="C45" s="1"/>
  <c r="L13"/>
  <c r="L14" s="1"/>
  <c r="L45" s="1"/>
  <c r="F13"/>
  <c r="E13"/>
  <c r="H13" s="1"/>
  <c r="Y12"/>
  <c r="AA12" s="1"/>
  <c r="E11"/>
  <c r="F11" s="1"/>
  <c r="A11"/>
  <c r="A13" s="1"/>
  <c r="A17" s="1"/>
  <c r="A18" s="1"/>
  <c r="A19" s="1"/>
  <c r="A21" s="1"/>
  <c r="A22" s="1"/>
  <c r="A25" s="1"/>
  <c r="E10"/>
  <c r="F10" s="1"/>
  <c r="A10"/>
  <c r="S9"/>
  <c r="S50" s="1"/>
  <c r="F9"/>
  <c r="G9" s="1"/>
  <c r="Z9" s="1"/>
  <c r="E9"/>
  <c r="A9"/>
  <c r="AA8"/>
  <c r="H7"/>
  <c r="E7"/>
  <c r="E14" s="1"/>
  <c r="AA6"/>
  <c r="N10" l="1"/>
  <c r="V10" s="1"/>
  <c r="G10"/>
  <c r="Z10" s="1"/>
  <c r="AB10"/>
  <c r="Y10"/>
  <c r="AA10" s="1"/>
  <c r="G41"/>
  <c r="Z41" s="1"/>
  <c r="AB41"/>
  <c r="AB28"/>
  <c r="G28"/>
  <c r="N28" s="1"/>
  <c r="V28" s="1"/>
  <c r="G34"/>
  <c r="K46"/>
  <c r="F43"/>
  <c r="Y27"/>
  <c r="AA27" s="1"/>
  <c r="G27"/>
  <c r="Z27" s="1"/>
  <c r="AB27"/>
  <c r="N40"/>
  <c r="V40" s="1"/>
  <c r="G40"/>
  <c r="AB40"/>
  <c r="Y40"/>
  <c r="AA40" s="1"/>
  <c r="M40"/>
  <c r="AB11"/>
  <c r="G11"/>
  <c r="Z11" s="1"/>
  <c r="S14"/>
  <c r="S45" s="1"/>
  <c r="F34"/>
  <c r="E43"/>
  <c r="E45" s="1"/>
  <c r="Y9"/>
  <c r="AA9" s="1"/>
  <c r="N19"/>
  <c r="V19" s="1"/>
  <c r="N42"/>
  <c r="V42" s="1"/>
  <c r="F48"/>
  <c r="E50"/>
  <c r="N25"/>
  <c r="Z25"/>
  <c r="F7"/>
  <c r="M9"/>
  <c r="AB9"/>
  <c r="N17"/>
  <c r="N18"/>
  <c r="V18" s="1"/>
  <c r="M19"/>
  <c r="W19" s="1"/>
  <c r="Y19"/>
  <c r="AA19" s="1"/>
  <c r="Y21"/>
  <c r="AA21" s="1"/>
  <c r="M25"/>
  <c r="Y25"/>
  <c r="AA25" s="1"/>
  <c r="AB32"/>
  <c r="Y35"/>
  <c r="AA35" s="1"/>
  <c r="M42"/>
  <c r="W42" s="1"/>
  <c r="Y42"/>
  <c r="AA42" s="1"/>
  <c r="L50"/>
  <c r="N9"/>
  <c r="V9" s="1"/>
  <c r="H10"/>
  <c r="H14" s="1"/>
  <c r="H45" s="1"/>
  <c r="AB13"/>
  <c r="G13"/>
  <c r="Z13" s="1"/>
  <c r="M17"/>
  <c r="M18"/>
  <c r="W18" s="1"/>
  <c r="G21"/>
  <c r="Z21" s="1"/>
  <c r="F22"/>
  <c r="F23" s="1"/>
  <c r="W35"/>
  <c r="Y13" l="1"/>
  <c r="AA13" s="1"/>
  <c r="N13"/>
  <c r="V13" s="1"/>
  <c r="V25"/>
  <c r="V34" s="1"/>
  <c r="G48"/>
  <c r="Z48" s="1"/>
  <c r="W40"/>
  <c r="Y11"/>
  <c r="AA11" s="1"/>
  <c r="M27"/>
  <c r="W27" s="1"/>
  <c r="M28"/>
  <c r="W28" s="1"/>
  <c r="Y41"/>
  <c r="AA41" s="1"/>
  <c r="M10"/>
  <c r="W10" s="1"/>
  <c r="V17"/>
  <c r="V23" s="1"/>
  <c r="Z40"/>
  <c r="G43"/>
  <c r="W9"/>
  <c r="H50"/>
  <c r="M21"/>
  <c r="M11"/>
  <c r="W11" s="1"/>
  <c r="N11"/>
  <c r="V11" s="1"/>
  <c r="N27"/>
  <c r="V27" s="1"/>
  <c r="M41"/>
  <c r="N22"/>
  <c r="V22" s="1"/>
  <c r="G22"/>
  <c r="Z22" s="1"/>
  <c r="AB22"/>
  <c r="Y22"/>
  <c r="AA22" s="1"/>
  <c r="M22"/>
  <c r="F14"/>
  <c r="F45" s="1"/>
  <c r="N7"/>
  <c r="G7"/>
  <c r="F50"/>
  <c r="AB7"/>
  <c r="N21"/>
  <c r="V21" s="1"/>
  <c r="M13"/>
  <c r="W13" s="1"/>
  <c r="N41"/>
  <c r="V41" l="1"/>
  <c r="V43" s="1"/>
  <c r="N43"/>
  <c r="N23"/>
  <c r="Y48"/>
  <c r="AA48" s="1"/>
  <c r="W25"/>
  <c r="W34" s="1"/>
  <c r="W17"/>
  <c r="G50"/>
  <c r="Z7"/>
  <c r="G14"/>
  <c r="Y7"/>
  <c r="W21"/>
  <c r="M43"/>
  <c r="W43" s="1"/>
  <c r="M48"/>
  <c r="M34"/>
  <c r="M23"/>
  <c r="N14"/>
  <c r="V7"/>
  <c r="N50"/>
  <c r="W22"/>
  <c r="M7"/>
  <c r="G23"/>
  <c r="N48"/>
  <c r="V48" s="1"/>
  <c r="N34"/>
  <c r="M14" l="1"/>
  <c r="M45" s="1"/>
  <c r="M50"/>
  <c r="W7"/>
  <c r="N45"/>
  <c r="V50"/>
  <c r="V14"/>
  <c r="V45" s="1"/>
  <c r="W48"/>
  <c r="G45"/>
  <c r="W41"/>
  <c r="AA7"/>
  <c r="AA45" s="1"/>
  <c r="Y45"/>
  <c r="W23"/>
  <c r="W50" l="1"/>
  <c r="W14"/>
  <c r="W45" s="1"/>
  <c r="X51"/>
  <c r="Z45"/>
  <c r="E46"/>
</calcChain>
</file>

<file path=xl/comments1.xml><?xml version="1.0" encoding="utf-8"?>
<comments xmlns="http://schemas.openxmlformats.org/spreadsheetml/2006/main">
  <authors>
    <author>Author</author>
  </authors>
  <commentList>
    <comment ref="O27" authorId="0">
      <text>
        <r>
          <rPr>
            <b/>
            <sz val="9"/>
            <color indexed="81"/>
            <rFont val="Tahoma"/>
            <family val="2"/>
          </rPr>
          <t>Author:</t>
        </r>
        <r>
          <rPr>
            <sz val="9"/>
            <color indexed="81"/>
            <rFont val="Tahoma"/>
            <family val="2"/>
          </rPr>
          <t xml:space="preserve">
Home Loan availed from  Oct 2020</t>
        </r>
      </text>
    </comment>
    <comment ref="B30" authorId="0">
      <text>
        <r>
          <rPr>
            <b/>
            <sz val="9"/>
            <color indexed="81"/>
            <rFont val="Tahoma"/>
            <family val="2"/>
          </rPr>
          <t>Author:</t>
        </r>
        <r>
          <rPr>
            <sz val="9"/>
            <color indexed="81"/>
            <rFont val="Tahoma"/>
            <family val="2"/>
          </rPr>
          <t xml:space="preserve">
VN 30 DEDUCTION</t>
        </r>
      </text>
    </comment>
    <comment ref="C41" authorId="0">
      <text>
        <r>
          <rPr>
            <b/>
            <sz val="9"/>
            <color indexed="81"/>
            <rFont val="Tahoma"/>
            <family val="2"/>
          </rPr>
          <t>Author:</t>
        </r>
        <r>
          <rPr>
            <sz val="9"/>
            <color indexed="81"/>
            <rFont val="Tahoma"/>
            <family val="2"/>
          </rPr>
          <t xml:space="preserve">
16340/-
</t>
        </r>
      </text>
    </comment>
  </commentList>
</comments>
</file>

<file path=xl/sharedStrings.xml><?xml version="1.0" encoding="utf-8"?>
<sst xmlns="http://schemas.openxmlformats.org/spreadsheetml/2006/main" count="66" uniqueCount="61">
  <si>
    <t/>
  </si>
  <si>
    <t>Salary Bill For the month of feb 2021</t>
  </si>
  <si>
    <t>EPF FEB19</t>
  </si>
  <si>
    <t>Sr. No.</t>
  </si>
  <si>
    <t>Name</t>
  </si>
  <si>
    <t>PB</t>
  </si>
  <si>
    <t>Grade 
Pay</t>
  </si>
  <si>
    <t>IR5</t>
  </si>
  <si>
    <t>Total</t>
  </si>
  <si>
    <t>DA</t>
  </si>
  <si>
    <t>HRA</t>
  </si>
  <si>
    <t>Med All</t>
  </si>
  <si>
    <t>CCA</t>
  </si>
  <si>
    <t>Mbl All.</t>
  </si>
  <si>
    <t>SPL ALL /CNVY</t>
  </si>
  <si>
    <t>CPF 12%</t>
  </si>
  <si>
    <t>I. TAX</t>
  </si>
  <si>
    <t>GIS</t>
  </si>
  <si>
    <t>TF</t>
  </si>
  <si>
    <t>other
  AllWNC</t>
  </si>
  <si>
    <t>H.Rent</t>
  </si>
  <si>
    <t>Conv. Adv</t>
  </si>
  <si>
    <t>Ded</t>
  </si>
  <si>
    <t>Net Payable</t>
  </si>
  <si>
    <t>SIGN</t>
  </si>
  <si>
    <t>QUAL SALARY</t>
  </si>
  <si>
    <t>Qual. Amt</t>
  </si>
  <si>
    <t>EPF (A)</t>
  </si>
  <si>
    <t>POST OF  (1) HOD / PRINCIPAL IN CHARGE SCALE 15600-39100+6600 GP</t>
  </si>
  <si>
    <t>Vishal kalia</t>
  </si>
  <si>
    <t xml:space="preserve">POST OF SR INSTRUCTOR  3 no  SCALE 10300-34800+5700 &amp; GP 6000 </t>
  </si>
  <si>
    <t>Shashi Bhoria Bhatia</t>
  </si>
  <si>
    <t>Ashish Bose</t>
  </si>
  <si>
    <t>J.P KANT</t>
  </si>
  <si>
    <t>POST OF  A O (1) SCALE 10300-34800+5400 GP</t>
  </si>
  <si>
    <t>Rajesh sharma</t>
  </si>
  <si>
    <t xml:space="preserve">POST OF LECTURER CUM INSTRUCTOR (S) 3  SCALE 10300-34800+5000 &amp; Sr Asstt Accounts  4400  And 1 Contract employee </t>
  </si>
  <si>
    <t>Seema Yadav</t>
  </si>
  <si>
    <t>VIVEK NAROTRA</t>
  </si>
  <si>
    <t xml:space="preserve">Achal Bisht  </t>
  </si>
  <si>
    <t>Suresh Chand (CONTRACTUAL)</t>
  </si>
  <si>
    <t>Munish Julka</t>
  </si>
  <si>
    <t>POST OF S. KEEPER (1) SCALE 10300-34800+3800 GP</t>
  </si>
  <si>
    <t>Devinder Singh</t>
  </si>
  <si>
    <t>POST OF CLERK (S) 2  SCALE 10300-34800+3200 GP</t>
  </si>
  <si>
    <t>Kuldeep Singh</t>
  </si>
  <si>
    <t>RAMKIRAN</t>
  </si>
  <si>
    <t>POST OF ASTT. LECTURER CUM ASTT INSTRUCTOR (S) 5  BASIC 25000</t>
  </si>
  <si>
    <t>ASHOK KUMAR RAY</t>
  </si>
  <si>
    <t>PANKAJ KAUNDAL</t>
  </si>
  <si>
    <t>SOUMYAJIT BANDYOPODHAY</t>
  </si>
  <si>
    <t>ANAND MALIK</t>
  </si>
  <si>
    <t xml:space="preserve">MR TARUN </t>
  </si>
  <si>
    <t xml:space="preserve">MR AKASH INDORA </t>
  </si>
  <si>
    <t xml:space="preserve">MR VINAY KUMAR </t>
  </si>
  <si>
    <t>LAB ATTENDENTS G.P 1900&amp; 1950</t>
  </si>
  <si>
    <t>Kul prasad</t>
  </si>
  <si>
    <t>Rakesh Chand</t>
  </si>
  <si>
    <t>Kalawati</t>
  </si>
  <si>
    <t>GROSS FIG.</t>
  </si>
  <si>
    <t>Rajan   Incr</t>
  </si>
</sst>
</file>

<file path=xl/styles.xml><?xml version="1.0" encoding="utf-8"?>
<styleSheet xmlns="http://schemas.openxmlformats.org/spreadsheetml/2006/main">
  <numFmts count="2">
    <numFmt numFmtId="164" formatCode="0;[Red]0"/>
    <numFmt numFmtId="165" formatCode="0.00;[Red]0.00"/>
  </numFmts>
  <fonts count="9">
    <font>
      <sz val="11"/>
      <color theme="1"/>
      <name val="Calibri"/>
      <family val="2"/>
      <scheme val="minor"/>
    </font>
    <font>
      <sz val="14"/>
      <name val="Calibri"/>
      <family val="2"/>
      <scheme val="minor"/>
    </font>
    <font>
      <b/>
      <sz val="14"/>
      <name val="Calibri"/>
      <family val="2"/>
      <scheme val="minor"/>
    </font>
    <font>
      <sz val="14"/>
      <color rgb="FFFF0000"/>
      <name val="Calibri"/>
      <family val="2"/>
      <scheme val="minor"/>
    </font>
    <font>
      <sz val="10"/>
      <name val="Arial"/>
      <family val="2"/>
    </font>
    <font>
      <b/>
      <u/>
      <sz val="14"/>
      <name val="Calibri"/>
      <family val="2"/>
      <scheme val="minor"/>
    </font>
    <font>
      <sz val="9"/>
      <name val="Arial"/>
      <family val="2"/>
    </font>
    <font>
      <b/>
      <sz val="9"/>
      <color indexed="81"/>
      <name val="Tahoma"/>
      <family val="2"/>
    </font>
    <font>
      <sz val="9"/>
      <color indexed="81"/>
      <name val="Tahoma"/>
      <family val="2"/>
    </font>
  </fonts>
  <fills count="14">
    <fill>
      <patternFill patternType="none"/>
    </fill>
    <fill>
      <patternFill patternType="gray125"/>
    </fill>
    <fill>
      <patternFill patternType="solid">
        <fgColor theme="8" tint="0.79998168889431442"/>
        <bgColor indexed="64"/>
      </patternFill>
    </fill>
    <fill>
      <patternFill patternType="solid">
        <fgColor indexed="47"/>
        <bgColor indexed="64"/>
      </patternFill>
    </fill>
    <fill>
      <patternFill patternType="solid">
        <fgColor theme="3" tint="0.59999389629810485"/>
        <bgColor indexed="64"/>
      </patternFill>
    </fill>
    <fill>
      <patternFill patternType="solid">
        <fgColor indexed="42"/>
        <bgColor indexed="64"/>
      </patternFill>
    </fill>
    <fill>
      <patternFill patternType="solid">
        <fgColor theme="4" tint="0.39997558519241921"/>
        <bgColor indexed="64"/>
      </patternFill>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9" tint="0.59999389629810485"/>
        <bgColor indexed="64"/>
      </patternFill>
    </fill>
  </fills>
  <borders count="25">
    <border>
      <left/>
      <right/>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xf numFmtId="0" fontId="4" fillId="0" borderId="0"/>
    <xf numFmtId="0" fontId="4" fillId="0" borderId="0"/>
  </cellStyleXfs>
  <cellXfs count="205">
    <xf numFmtId="0" fontId="0" fillId="0" borderId="0" xfId="0"/>
    <xf numFmtId="164" fontId="1" fillId="0" borderId="0" xfId="0" applyNumberFormat="1" applyFont="1" applyAlignment="1">
      <alignment horizontal="center"/>
    </xf>
    <xf numFmtId="164" fontId="1" fillId="0" borderId="0" xfId="0" applyNumberFormat="1" applyFont="1" applyFill="1"/>
    <xf numFmtId="164" fontId="1" fillId="0" borderId="0" xfId="0" quotePrefix="1" applyNumberFormat="1" applyFont="1"/>
    <xf numFmtId="164" fontId="1" fillId="0" borderId="0" xfId="0" applyNumberFormat="1" applyFont="1"/>
    <xf numFmtId="164" fontId="1" fillId="2" borderId="0" xfId="0" applyNumberFormat="1" applyFont="1" applyFill="1"/>
    <xf numFmtId="164" fontId="1" fillId="3" borderId="0" xfId="0" applyNumberFormat="1" applyFont="1" applyFill="1"/>
    <xf numFmtId="164" fontId="1" fillId="4" borderId="0" xfId="0" applyNumberFormat="1" applyFont="1" applyFill="1"/>
    <xf numFmtId="164" fontId="1" fillId="5" borderId="0" xfId="0" applyNumberFormat="1" applyFont="1" applyFill="1"/>
    <xf numFmtId="164" fontId="1" fillId="6" borderId="0" xfId="0" applyNumberFormat="1" applyFont="1" applyFill="1"/>
    <xf numFmtId="164" fontId="1" fillId="0" borderId="1" xfId="0" applyNumberFormat="1" applyFont="1" applyBorder="1"/>
    <xf numFmtId="164" fontId="1" fillId="7" borderId="0" xfId="0" applyNumberFormat="1" applyFont="1" applyFill="1" applyBorder="1"/>
    <xf numFmtId="164" fontId="1" fillId="0" borderId="0" xfId="0" applyNumberFormat="1" applyFont="1" applyFill="1" applyBorder="1"/>
    <xf numFmtId="164" fontId="2" fillId="6" borderId="0" xfId="0" applyNumberFormat="1" applyFont="1" applyFill="1" applyAlignment="1">
      <alignment horizontal="center" vertical="top"/>
    </xf>
    <xf numFmtId="164" fontId="2" fillId="0" borderId="2" xfId="0" applyNumberFormat="1" applyFont="1" applyBorder="1" applyAlignment="1">
      <alignment vertical="top"/>
    </xf>
    <xf numFmtId="164" fontId="2" fillId="0" borderId="1" xfId="0" applyNumberFormat="1" applyFont="1" applyBorder="1" applyAlignment="1">
      <alignment vertical="top"/>
    </xf>
    <xf numFmtId="164" fontId="2" fillId="0" borderId="0" xfId="0" applyNumberFormat="1" applyFont="1" applyBorder="1" applyAlignment="1">
      <alignment vertical="top"/>
    </xf>
    <xf numFmtId="164" fontId="2" fillId="0" borderId="0" xfId="0" applyNumberFormat="1" applyFont="1" applyFill="1" applyBorder="1" applyAlignment="1">
      <alignment horizontal="center" vertical="top"/>
    </xf>
    <xf numFmtId="164" fontId="2" fillId="8" borderId="3" xfId="0" applyNumberFormat="1" applyFont="1" applyFill="1" applyBorder="1" applyAlignment="1">
      <alignment horizontal="center" vertical="top"/>
    </xf>
    <xf numFmtId="164" fontId="2" fillId="8" borderId="4" xfId="0" applyNumberFormat="1" applyFont="1" applyFill="1" applyBorder="1" applyAlignment="1">
      <alignment horizontal="center" vertical="top"/>
    </xf>
    <xf numFmtId="164" fontId="2" fillId="8" borderId="5" xfId="0" applyNumberFormat="1" applyFont="1" applyFill="1" applyBorder="1" applyAlignment="1">
      <alignment horizontal="center" vertical="top"/>
    </xf>
    <xf numFmtId="164" fontId="2" fillId="8" borderId="6" xfId="0" applyNumberFormat="1" applyFont="1" applyFill="1" applyBorder="1" applyAlignment="1">
      <alignment horizontal="center" vertical="top" wrapText="1"/>
    </xf>
    <xf numFmtId="164" fontId="2" fillId="2" borderId="6" xfId="0" applyNumberFormat="1" applyFont="1" applyFill="1" applyBorder="1" applyAlignment="1">
      <alignment horizontal="center" vertical="top" wrapText="1"/>
    </xf>
    <xf numFmtId="164" fontId="1" fillId="9" borderId="6" xfId="0" applyNumberFormat="1" applyFont="1" applyFill="1" applyBorder="1" applyAlignment="1">
      <alignment horizontal="center" vertical="top"/>
    </xf>
    <xf numFmtId="164" fontId="2" fillId="8" borderId="6" xfId="0" applyNumberFormat="1" applyFont="1" applyFill="1" applyBorder="1" applyAlignment="1">
      <alignment horizontal="center" vertical="top"/>
    </xf>
    <xf numFmtId="164" fontId="2" fillId="0" borderId="6" xfId="0" applyNumberFormat="1" applyFont="1" applyFill="1" applyBorder="1" applyAlignment="1">
      <alignment horizontal="center" vertical="top"/>
    </xf>
    <xf numFmtId="164" fontId="2" fillId="3" borderId="7" xfId="0" applyNumberFormat="1" applyFont="1" applyFill="1" applyBorder="1" applyAlignment="1">
      <alignment horizontal="center" vertical="top"/>
    </xf>
    <xf numFmtId="164" fontId="2" fillId="0" borderId="8" xfId="0" applyNumberFormat="1" applyFont="1" applyFill="1" applyBorder="1" applyAlignment="1">
      <alignment horizontal="center" vertical="top"/>
    </xf>
    <xf numFmtId="164" fontId="2" fillId="10" borderId="9" xfId="0" applyNumberFormat="1" applyFont="1" applyFill="1" applyBorder="1" applyAlignment="1">
      <alignment horizontal="center" vertical="top"/>
    </xf>
    <xf numFmtId="164" fontId="2" fillId="10" borderId="10" xfId="0" applyNumberFormat="1" applyFont="1" applyFill="1" applyBorder="1" applyAlignment="1">
      <alignment horizontal="center" vertical="top"/>
    </xf>
    <xf numFmtId="164" fontId="1" fillId="10" borderId="10" xfId="0" applyNumberFormat="1" applyFont="1" applyFill="1" applyBorder="1" applyAlignment="1">
      <alignment horizontal="center" vertical="top"/>
    </xf>
    <xf numFmtId="164" fontId="2" fillId="10" borderId="10" xfId="0" applyNumberFormat="1" applyFont="1" applyFill="1" applyBorder="1" applyAlignment="1">
      <alignment horizontal="center" vertical="top" wrapText="1"/>
    </xf>
    <xf numFmtId="164" fontId="2" fillId="8" borderId="10" xfId="0" applyNumberFormat="1" applyFont="1" applyFill="1" applyBorder="1" applyAlignment="1">
      <alignment horizontal="center" vertical="top"/>
    </xf>
    <xf numFmtId="164" fontId="2" fillId="8" borderId="11" xfId="0" applyNumberFormat="1" applyFont="1" applyFill="1" applyBorder="1" applyAlignment="1">
      <alignment horizontal="center" vertical="top" wrapText="1"/>
    </xf>
    <xf numFmtId="164" fontId="2" fillId="5" borderId="11" xfId="0" applyNumberFormat="1" applyFont="1" applyFill="1" applyBorder="1" applyAlignment="1">
      <alignment horizontal="center" vertical="justify"/>
    </xf>
    <xf numFmtId="164" fontId="2" fillId="8" borderId="10" xfId="0" applyNumberFormat="1" applyFont="1" applyFill="1" applyBorder="1" applyAlignment="1">
      <alignment horizontal="center" vertical="justify"/>
    </xf>
    <xf numFmtId="164" fontId="2" fillId="8" borderId="11" xfId="0" applyNumberFormat="1" applyFont="1" applyFill="1" applyBorder="1" applyAlignment="1">
      <alignment horizontal="center" vertical="justify"/>
    </xf>
    <xf numFmtId="164" fontId="2" fillId="8" borderId="12" xfId="0" applyNumberFormat="1" applyFont="1" applyFill="1" applyBorder="1" applyAlignment="1">
      <alignment horizontal="center" vertical="justify"/>
    </xf>
    <xf numFmtId="164" fontId="2" fillId="6" borderId="12" xfId="0" applyNumberFormat="1" applyFont="1" applyFill="1" applyBorder="1" applyAlignment="1">
      <alignment horizontal="center" vertical="justify"/>
    </xf>
    <xf numFmtId="164" fontId="2" fillId="8" borderId="13" xfId="0" applyNumberFormat="1" applyFont="1" applyFill="1" applyBorder="1" applyAlignment="1">
      <alignment horizontal="center" vertical="justify"/>
    </xf>
    <xf numFmtId="164" fontId="2" fillId="8" borderId="4" xfId="0" applyNumberFormat="1" applyFont="1" applyFill="1" applyBorder="1" applyAlignment="1">
      <alignment horizontal="center" vertical="justify"/>
    </xf>
    <xf numFmtId="164" fontId="2" fillId="8" borderId="1" xfId="0" applyNumberFormat="1" applyFont="1" applyFill="1" applyBorder="1" applyAlignment="1">
      <alignment horizontal="center" vertical="justify"/>
    </xf>
    <xf numFmtId="164" fontId="2" fillId="0" borderId="0" xfId="0" applyNumberFormat="1" applyFont="1" applyFill="1" applyBorder="1" applyAlignment="1">
      <alignment horizontal="center" vertical="justify"/>
    </xf>
    <xf numFmtId="164" fontId="2" fillId="11" borderId="6" xfId="0" applyNumberFormat="1" applyFont="1" applyFill="1" applyBorder="1" applyAlignment="1">
      <alignment horizontal="center" vertical="top" wrapText="1"/>
    </xf>
    <xf numFmtId="0" fontId="1" fillId="0" borderId="0" xfId="0" applyFont="1" applyFill="1" applyBorder="1"/>
    <xf numFmtId="164" fontId="1" fillId="8" borderId="0" xfId="0" applyNumberFormat="1" applyFont="1" applyFill="1" applyBorder="1"/>
    <xf numFmtId="164" fontId="2" fillId="8" borderId="0" xfId="0" applyNumberFormat="1" applyFont="1" applyFill="1" applyBorder="1" applyAlignment="1">
      <alignment horizontal="center" vertical="top"/>
    </xf>
    <xf numFmtId="164" fontId="1" fillId="8" borderId="0" xfId="0" applyNumberFormat="1" applyFont="1" applyFill="1"/>
    <xf numFmtId="164" fontId="1" fillId="0" borderId="14" xfId="0" applyNumberFormat="1" applyFont="1" applyFill="1" applyBorder="1" applyAlignment="1">
      <alignment horizontal="center"/>
    </xf>
    <xf numFmtId="164" fontId="2" fillId="0" borderId="15" xfId="0" applyNumberFormat="1" applyFont="1" applyFill="1" applyBorder="1" applyAlignment="1">
      <alignment vertical="top"/>
    </xf>
    <xf numFmtId="164" fontId="2" fillId="0" borderId="16" xfId="0" applyNumberFormat="1" applyFont="1" applyFill="1" applyBorder="1" applyAlignment="1">
      <alignment vertical="top"/>
    </xf>
    <xf numFmtId="164" fontId="2" fillId="2" borderId="16" xfId="0" applyNumberFormat="1" applyFont="1" applyFill="1" applyBorder="1" applyAlignment="1">
      <alignment vertical="top"/>
    </xf>
    <xf numFmtId="164" fontId="1" fillId="0" borderId="17" xfId="0" applyNumberFormat="1" applyFont="1" applyFill="1" applyBorder="1" applyAlignment="1">
      <alignment vertical="top"/>
    </xf>
    <xf numFmtId="164" fontId="1" fillId="0" borderId="14" xfId="0" applyNumberFormat="1" applyFont="1" applyFill="1" applyBorder="1" applyAlignment="1">
      <alignment vertical="center"/>
    </xf>
    <xf numFmtId="164" fontId="1" fillId="3" borderId="18" xfId="0" applyNumberFormat="1" applyFont="1" applyFill="1" applyBorder="1" applyAlignment="1">
      <alignment vertical="center"/>
    </xf>
    <xf numFmtId="164" fontId="1" fillId="0" borderId="18" xfId="0" applyNumberFormat="1" applyFont="1" applyFill="1" applyBorder="1"/>
    <xf numFmtId="0" fontId="3" fillId="0" borderId="0" xfId="0" applyFont="1" applyFill="1"/>
    <xf numFmtId="164" fontId="1" fillId="0" borderId="18" xfId="0" applyNumberFormat="1" applyFont="1" applyFill="1" applyBorder="1" applyAlignment="1">
      <alignment vertical="center"/>
    </xf>
    <xf numFmtId="164" fontId="3" fillId="0" borderId="18" xfId="0" applyNumberFormat="1" applyFont="1" applyFill="1" applyBorder="1" applyAlignment="1">
      <alignment vertical="center"/>
    </xf>
    <xf numFmtId="164" fontId="1" fillId="5" borderId="18" xfId="0" applyNumberFormat="1" applyFont="1" applyFill="1" applyBorder="1" applyAlignment="1">
      <alignment vertical="center"/>
    </xf>
    <xf numFmtId="164" fontId="1" fillId="0" borderId="19" xfId="0" applyNumberFormat="1" applyFont="1" applyFill="1" applyBorder="1" applyAlignment="1">
      <alignment vertical="center"/>
    </xf>
    <xf numFmtId="164" fontId="1" fillId="0" borderId="14" xfId="0" applyNumberFormat="1" applyFont="1" applyBorder="1" applyAlignment="1">
      <alignment vertical="center"/>
    </xf>
    <xf numFmtId="164" fontId="1" fillId="6" borderId="14" xfId="0" applyNumberFormat="1" applyFont="1" applyFill="1" applyBorder="1" applyAlignment="1">
      <alignment vertical="center"/>
    </xf>
    <xf numFmtId="164" fontId="1" fillId="0" borderId="15" xfId="0" applyNumberFormat="1" applyFont="1" applyFill="1" applyBorder="1" applyAlignment="1">
      <alignment vertical="center"/>
    </xf>
    <xf numFmtId="164" fontId="1" fillId="0" borderId="1" xfId="0" applyNumberFormat="1" applyFont="1" applyFill="1" applyBorder="1" applyAlignment="1">
      <alignment vertical="center"/>
    </xf>
    <xf numFmtId="164" fontId="1" fillId="0" borderId="0" xfId="0" applyNumberFormat="1" applyFont="1" applyFill="1" applyBorder="1" applyAlignment="1">
      <alignment vertical="center"/>
    </xf>
    <xf numFmtId="164" fontId="1" fillId="0" borderId="0" xfId="1" applyNumberFormat="1" applyFont="1" applyFill="1" applyBorder="1"/>
    <xf numFmtId="164" fontId="5" fillId="0" borderId="14" xfId="0" applyNumberFormat="1" applyFont="1" applyFill="1" applyBorder="1" applyAlignment="1">
      <alignment horizontal="center"/>
    </xf>
    <xf numFmtId="164" fontId="1" fillId="0" borderId="14" xfId="1" applyNumberFormat="1" applyFont="1" applyFill="1" applyBorder="1" applyAlignment="1">
      <alignment vertical="center" wrapText="1" shrinkToFit="1"/>
    </xf>
    <xf numFmtId="164" fontId="1" fillId="2" borderId="14" xfId="0" applyNumberFormat="1" applyFont="1" applyFill="1" applyBorder="1" applyAlignment="1">
      <alignment vertical="center"/>
    </xf>
    <xf numFmtId="164" fontId="1" fillId="3" borderId="14" xfId="0" applyNumberFormat="1" applyFont="1" applyFill="1" applyBorder="1" applyAlignment="1">
      <alignment vertical="center"/>
    </xf>
    <xf numFmtId="0" fontId="3" fillId="0" borderId="14" xfId="0" applyFont="1" applyFill="1" applyBorder="1" applyAlignment="1">
      <alignment vertical="center"/>
    </xf>
    <xf numFmtId="164" fontId="1" fillId="5" borderId="14" xfId="0" applyNumberFormat="1" applyFont="1" applyFill="1" applyBorder="1" applyAlignment="1">
      <alignment vertical="center"/>
    </xf>
    <xf numFmtId="164" fontId="1" fillId="0" borderId="14" xfId="0" applyNumberFormat="1" applyFont="1" applyFill="1" applyBorder="1"/>
    <xf numFmtId="0" fontId="1" fillId="0" borderId="0" xfId="0" applyFont="1" applyFill="1"/>
    <xf numFmtId="164" fontId="1" fillId="12" borderId="14" xfId="0" applyNumberFormat="1" applyFont="1" applyFill="1" applyBorder="1" applyAlignment="1">
      <alignment vertical="center"/>
    </xf>
    <xf numFmtId="0" fontId="1" fillId="0" borderId="14" xfId="0" applyFont="1" applyFill="1" applyBorder="1" applyAlignment="1">
      <alignment vertical="center"/>
    </xf>
    <xf numFmtId="164" fontId="1" fillId="5" borderId="14" xfId="0" applyNumberFormat="1" applyFont="1" applyFill="1" applyBorder="1"/>
    <xf numFmtId="164" fontId="1" fillId="0" borderId="14" xfId="0" applyNumberFormat="1" applyFont="1" applyFill="1" applyBorder="1" applyAlignment="1">
      <alignment horizontal="right" vertical="center"/>
    </xf>
    <xf numFmtId="164" fontId="2" fillId="0" borderId="3" xfId="0" applyNumberFormat="1" applyFont="1" applyFill="1" applyBorder="1" applyAlignment="1">
      <alignment horizontal="center"/>
    </xf>
    <xf numFmtId="164" fontId="2" fillId="0" borderId="3" xfId="1" applyNumberFormat="1" applyFont="1" applyFill="1" applyBorder="1"/>
    <xf numFmtId="164" fontId="2" fillId="0" borderId="20" xfId="0" applyNumberFormat="1" applyFont="1" applyFill="1" applyBorder="1" applyAlignment="1">
      <alignment vertical="center" wrapText="1"/>
    </xf>
    <xf numFmtId="164" fontId="2" fillId="2" borderId="20" xfId="0" applyNumberFormat="1" applyFont="1" applyFill="1" applyBorder="1" applyAlignment="1">
      <alignment vertical="center" wrapText="1"/>
    </xf>
    <xf numFmtId="164" fontId="1" fillId="0" borderId="20" xfId="0" applyNumberFormat="1" applyFont="1" applyFill="1" applyBorder="1" applyAlignment="1">
      <alignment vertical="center" wrapText="1"/>
    </xf>
    <xf numFmtId="164" fontId="2" fillId="3" borderId="20" xfId="0" applyNumberFormat="1" applyFont="1" applyFill="1" applyBorder="1" applyAlignment="1">
      <alignment vertical="center" wrapText="1"/>
    </xf>
    <xf numFmtId="164" fontId="2" fillId="5" borderId="20" xfId="0" applyNumberFormat="1" applyFont="1" applyFill="1" applyBorder="1" applyAlignment="1">
      <alignment vertical="center" wrapText="1"/>
    </xf>
    <xf numFmtId="164" fontId="2" fillId="0" borderId="3" xfId="0" applyNumberFormat="1" applyFont="1" applyFill="1" applyBorder="1"/>
    <xf numFmtId="164" fontId="2" fillId="6" borderId="0" xfId="0" applyNumberFormat="1" applyFont="1" applyFill="1" applyBorder="1"/>
    <xf numFmtId="164" fontId="1" fillId="0" borderId="1" xfId="0" quotePrefix="1" applyNumberFormat="1" applyFont="1" applyFill="1" applyBorder="1" applyAlignment="1">
      <alignment vertical="center"/>
    </xf>
    <xf numFmtId="164" fontId="2" fillId="0" borderId="0" xfId="0" applyNumberFormat="1" applyFont="1" applyFill="1" applyBorder="1"/>
    <xf numFmtId="0" fontId="2" fillId="0" borderId="0" xfId="0" applyFont="1" applyFill="1" applyBorder="1"/>
    <xf numFmtId="164" fontId="2" fillId="8" borderId="0" xfId="0" applyNumberFormat="1" applyFont="1" applyFill="1" applyBorder="1"/>
    <xf numFmtId="164" fontId="1" fillId="8" borderId="0" xfId="1" applyNumberFormat="1" applyFont="1" applyFill="1" applyBorder="1"/>
    <xf numFmtId="164" fontId="2" fillId="8" borderId="0" xfId="0" applyNumberFormat="1" applyFont="1" applyFill="1"/>
    <xf numFmtId="164" fontId="2" fillId="0" borderId="14" xfId="0" applyNumberFormat="1" applyFont="1" applyFill="1" applyBorder="1" applyAlignment="1">
      <alignment horizontal="center"/>
    </xf>
    <xf numFmtId="164" fontId="2" fillId="0" borderId="14" xfId="0" applyNumberFormat="1" applyFont="1" applyFill="1" applyBorder="1" applyAlignment="1">
      <alignment vertical="top"/>
    </xf>
    <xf numFmtId="164" fontId="2" fillId="0" borderId="18" xfId="0" applyNumberFormat="1" applyFont="1" applyFill="1" applyBorder="1"/>
    <xf numFmtId="164" fontId="2" fillId="2" borderId="18" xfId="0" applyNumberFormat="1" applyFont="1" applyFill="1" applyBorder="1"/>
    <xf numFmtId="164" fontId="2" fillId="3" borderId="18" xfId="0" applyNumberFormat="1" applyFont="1" applyFill="1" applyBorder="1" applyAlignment="1">
      <alignment vertical="center"/>
    </xf>
    <xf numFmtId="164" fontId="2" fillId="5" borderId="18" xfId="0" applyNumberFormat="1" applyFont="1" applyFill="1" applyBorder="1"/>
    <xf numFmtId="164" fontId="2" fillId="0" borderId="18" xfId="0" applyNumberFormat="1" applyFont="1" applyFill="1" applyBorder="1" applyAlignment="1">
      <alignment vertical="center"/>
    </xf>
    <xf numFmtId="164" fontId="2" fillId="8" borderId="14" xfId="0" applyNumberFormat="1" applyFont="1" applyFill="1" applyBorder="1" applyAlignment="1">
      <alignment horizontal="center" vertical="justify"/>
    </xf>
    <xf numFmtId="0" fontId="3" fillId="12" borderId="14" xfId="0" applyFont="1" applyFill="1" applyBorder="1" applyAlignment="1">
      <alignment vertical="center"/>
    </xf>
    <xf numFmtId="164" fontId="3" fillId="0" borderId="14" xfId="0" applyNumberFormat="1" applyFont="1" applyFill="1" applyBorder="1" applyAlignment="1">
      <alignment vertical="center"/>
    </xf>
    <xf numFmtId="164" fontId="2" fillId="0" borderId="14" xfId="1" applyNumberFormat="1" applyFont="1" applyFill="1" applyBorder="1"/>
    <xf numFmtId="164" fontId="2" fillId="10" borderId="20" xfId="0" applyNumberFormat="1" applyFont="1" applyFill="1" applyBorder="1" applyAlignment="1">
      <alignment vertical="center" wrapText="1"/>
    </xf>
    <xf numFmtId="164" fontId="2" fillId="0" borderId="14" xfId="0" applyNumberFormat="1" applyFont="1" applyFill="1" applyBorder="1"/>
    <xf numFmtId="164" fontId="2" fillId="0" borderId="18" xfId="0" applyNumberFormat="1" applyFont="1" applyFill="1" applyBorder="1" applyAlignment="1">
      <alignment horizontal="center"/>
    </xf>
    <xf numFmtId="164" fontId="2" fillId="0" borderId="18" xfId="0" applyNumberFormat="1" applyFont="1" applyFill="1" applyBorder="1" applyAlignment="1">
      <alignment vertical="top"/>
    </xf>
    <xf numFmtId="164" fontId="2" fillId="2" borderId="18" xfId="0" applyNumberFormat="1" applyFont="1" applyFill="1" applyBorder="1" applyAlignment="1">
      <alignment vertical="top"/>
    </xf>
    <xf numFmtId="164" fontId="1" fillId="0" borderId="18" xfId="0" applyNumberFormat="1" applyFont="1" applyFill="1" applyBorder="1" applyAlignment="1">
      <alignment vertical="top"/>
    </xf>
    <xf numFmtId="164" fontId="2" fillId="0" borderId="21" xfId="0" applyNumberFormat="1" applyFont="1" applyFill="1" applyBorder="1"/>
    <xf numFmtId="164" fontId="2" fillId="3" borderId="21" xfId="0" applyNumberFormat="1" applyFont="1" applyFill="1" applyBorder="1" applyAlignment="1">
      <alignment vertical="center"/>
    </xf>
    <xf numFmtId="164" fontId="2" fillId="5" borderId="21" xfId="0" applyNumberFormat="1" applyFont="1" applyFill="1" applyBorder="1"/>
    <xf numFmtId="164" fontId="2" fillId="0" borderId="1" xfId="0" applyNumberFormat="1" applyFont="1" applyFill="1" applyBorder="1"/>
    <xf numFmtId="164" fontId="2" fillId="0" borderId="1" xfId="0" applyNumberFormat="1" applyFont="1" applyFill="1" applyBorder="1" applyAlignment="1">
      <alignment vertical="center"/>
    </xf>
    <xf numFmtId="164" fontId="2" fillId="8" borderId="22" xfId="0" applyNumberFormat="1" applyFont="1" applyFill="1" applyBorder="1" applyAlignment="1">
      <alignment horizontal="center" vertical="justify"/>
    </xf>
    <xf numFmtId="164" fontId="1" fillId="0" borderId="14" xfId="0" applyNumberFormat="1" applyFont="1" applyFill="1" applyBorder="1" applyAlignment="1">
      <alignment vertical="top"/>
    </xf>
    <xf numFmtId="0" fontId="1" fillId="0" borderId="14" xfId="0" applyFont="1" applyFill="1" applyBorder="1" applyAlignment="1">
      <alignment horizontal="center"/>
    </xf>
    <xf numFmtId="0" fontId="1" fillId="0" borderId="14" xfId="1" applyFont="1" applyFill="1" applyBorder="1" applyAlignment="1">
      <alignment vertical="center" wrapText="1" shrinkToFit="1"/>
    </xf>
    <xf numFmtId="1" fontId="1" fillId="0" borderId="14" xfId="0" applyNumberFormat="1" applyFont="1" applyFill="1" applyBorder="1" applyAlignment="1">
      <alignment vertical="center"/>
    </xf>
    <xf numFmtId="1" fontId="1" fillId="0" borderId="14" xfId="0" applyNumberFormat="1" applyFont="1" applyFill="1" applyBorder="1" applyAlignment="1">
      <alignment horizontal="right" vertical="center"/>
    </xf>
    <xf numFmtId="1" fontId="1" fillId="0" borderId="14" xfId="0" applyNumberFormat="1" applyFont="1" applyBorder="1" applyAlignment="1">
      <alignment horizontal="left" vertical="center"/>
    </xf>
    <xf numFmtId="2" fontId="1" fillId="6" borderId="14" xfId="0" applyNumberFormat="1" applyFont="1" applyFill="1" applyBorder="1" applyAlignment="1">
      <alignment vertical="center"/>
    </xf>
    <xf numFmtId="1" fontId="1" fillId="0" borderId="15" xfId="0" applyNumberFormat="1" applyFont="1" applyFill="1" applyBorder="1" applyAlignment="1">
      <alignment vertical="center"/>
    </xf>
    <xf numFmtId="0" fontId="1" fillId="0" borderId="0" xfId="0" applyFont="1" applyFill="1" applyBorder="1" applyAlignment="1">
      <alignment vertical="center"/>
    </xf>
    <xf numFmtId="0" fontId="1" fillId="0" borderId="0" xfId="1" applyFont="1" applyFill="1" applyBorder="1"/>
    <xf numFmtId="164" fontId="2" fillId="2" borderId="14" xfId="0" applyNumberFormat="1" applyFont="1" applyFill="1" applyBorder="1" applyAlignment="1">
      <alignment vertical="top"/>
    </xf>
    <xf numFmtId="164" fontId="1" fillId="13" borderId="14" xfId="0" applyNumberFormat="1" applyFont="1" applyFill="1" applyBorder="1" applyAlignment="1">
      <alignment vertical="center"/>
    </xf>
    <xf numFmtId="164" fontId="1" fillId="0" borderId="3" xfId="1" applyNumberFormat="1" applyFont="1" applyFill="1" applyBorder="1" applyAlignment="1">
      <alignment vertical="center" wrapText="1" shrinkToFit="1"/>
    </xf>
    <xf numFmtId="164" fontId="1" fillId="0" borderId="3" xfId="0" applyNumberFormat="1" applyFont="1" applyBorder="1" applyAlignment="1">
      <alignment vertical="center"/>
    </xf>
    <xf numFmtId="164" fontId="3" fillId="0" borderId="3" xfId="0" applyNumberFormat="1" applyFont="1" applyFill="1" applyBorder="1" applyAlignment="1">
      <alignment horizontal="center"/>
    </xf>
    <xf numFmtId="164" fontId="3" fillId="0" borderId="3" xfId="1" applyNumberFormat="1" applyFont="1" applyFill="1" applyBorder="1"/>
    <xf numFmtId="164" fontId="2" fillId="0" borderId="14" xfId="0" applyNumberFormat="1" applyFont="1" applyFill="1" applyBorder="1" applyAlignment="1">
      <alignment horizontal="center" vertical="justify"/>
    </xf>
    <xf numFmtId="164" fontId="3" fillId="0" borderId="14" xfId="1" applyNumberFormat="1" applyFont="1" applyFill="1" applyBorder="1" applyAlignment="1">
      <alignment vertical="center" wrapText="1" shrinkToFit="1"/>
    </xf>
    <xf numFmtId="164" fontId="1" fillId="0" borderId="3" xfId="0" applyNumberFormat="1" applyFont="1" applyFill="1" applyBorder="1" applyAlignment="1">
      <alignment horizontal="center"/>
    </xf>
    <xf numFmtId="164" fontId="1" fillId="0" borderId="3" xfId="1" applyNumberFormat="1" applyFont="1" applyFill="1" applyBorder="1"/>
    <xf numFmtId="164" fontId="1" fillId="0" borderId="3" xfId="0" applyNumberFormat="1" applyFont="1" applyFill="1" applyBorder="1" applyAlignment="1">
      <alignment vertical="center" wrapText="1"/>
    </xf>
    <xf numFmtId="164" fontId="2" fillId="0" borderId="3" xfId="0" applyNumberFormat="1" applyFont="1" applyFill="1" applyBorder="1" applyAlignment="1">
      <alignment vertical="center" wrapText="1"/>
    </xf>
    <xf numFmtId="164" fontId="2" fillId="2" borderId="3" xfId="0" applyNumberFormat="1" applyFont="1" applyFill="1" applyBorder="1" applyAlignment="1">
      <alignment vertical="center" wrapText="1"/>
    </xf>
    <xf numFmtId="164" fontId="1" fillId="3" borderId="14" xfId="0" applyNumberFormat="1" applyFont="1" applyFill="1" applyBorder="1" applyAlignment="1">
      <alignment horizontal="right" vertical="center"/>
    </xf>
    <xf numFmtId="0" fontId="1" fillId="0" borderId="14" xfId="0" applyFont="1" applyFill="1" applyBorder="1" applyAlignment="1">
      <alignment horizontal="right" vertical="center"/>
    </xf>
    <xf numFmtId="164" fontId="1" fillId="6" borderId="0" xfId="0" applyNumberFormat="1" applyFont="1" applyFill="1" applyBorder="1" applyAlignment="1">
      <alignment vertical="center"/>
    </xf>
    <xf numFmtId="164" fontId="2" fillId="0" borderId="14" xfId="0" applyNumberFormat="1" applyFont="1" applyFill="1" applyBorder="1" applyAlignment="1">
      <alignment vertical="top" wrapText="1"/>
    </xf>
    <xf numFmtId="164" fontId="2" fillId="3" borderId="14" xfId="0" applyNumberFormat="1" applyFont="1" applyFill="1" applyBorder="1" applyAlignment="1">
      <alignment vertical="center"/>
    </xf>
    <xf numFmtId="164" fontId="2" fillId="5" borderId="14" xfId="0" applyNumberFormat="1" applyFont="1" applyFill="1" applyBorder="1"/>
    <xf numFmtId="164" fontId="2" fillId="0" borderId="14" xfId="0" applyNumberFormat="1" applyFont="1" applyFill="1" applyBorder="1" applyAlignment="1">
      <alignment vertical="center"/>
    </xf>
    <xf numFmtId="164" fontId="2" fillId="0" borderId="14" xfId="1" applyNumberFormat="1" applyFont="1" applyFill="1" applyBorder="1" applyAlignment="1">
      <alignment vertical="center" wrapText="1" shrinkToFi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center"/>
    </xf>
    <xf numFmtId="164" fontId="1" fillId="0" borderId="20" xfId="0" applyNumberFormat="1" applyFont="1" applyFill="1" applyBorder="1" applyAlignment="1">
      <alignment vertical="center"/>
    </xf>
    <xf numFmtId="164" fontId="2" fillId="0" borderId="15" xfId="0" applyNumberFormat="1" applyFont="1" applyFill="1" applyBorder="1" applyAlignment="1">
      <alignment vertical="center"/>
    </xf>
    <xf numFmtId="164" fontId="2" fillId="0" borderId="1" xfId="0" quotePrefix="1" applyNumberFormat="1" applyFont="1" applyFill="1" applyBorder="1" applyAlignment="1">
      <alignment vertical="center"/>
    </xf>
    <xf numFmtId="164" fontId="2" fillId="0" borderId="0" xfId="0" applyNumberFormat="1" applyFont="1" applyFill="1" applyBorder="1" applyAlignment="1">
      <alignment vertical="center"/>
    </xf>
    <xf numFmtId="164" fontId="2" fillId="3" borderId="18" xfId="0" applyNumberFormat="1" applyFont="1" applyFill="1" applyBorder="1"/>
    <xf numFmtId="164" fontId="1" fillId="0" borderId="14" xfId="0" quotePrefix="1" applyNumberFormat="1" applyFont="1" applyFill="1" applyBorder="1" applyAlignment="1">
      <alignment vertical="center"/>
    </xf>
    <xf numFmtId="164" fontId="1" fillId="0" borderId="15" xfId="0" quotePrefix="1" applyNumberFormat="1" applyFont="1" applyFill="1" applyBorder="1" applyAlignment="1">
      <alignment vertical="center"/>
    </xf>
    <xf numFmtId="164" fontId="1" fillId="0" borderId="14" xfId="0" applyNumberFormat="1" applyFont="1" applyFill="1" applyBorder="1" applyAlignment="1">
      <alignment horizontal="center" vertical="center"/>
    </xf>
    <xf numFmtId="164" fontId="2" fillId="0" borderId="14" xfId="0" applyNumberFormat="1" applyFont="1" applyFill="1" applyBorder="1" applyAlignment="1">
      <alignment vertical="center" wrapText="1"/>
    </xf>
    <xf numFmtId="164" fontId="2" fillId="2" borderId="14" xfId="0" applyNumberFormat="1" applyFont="1" applyFill="1" applyBorder="1" applyAlignment="1">
      <alignment vertical="center" wrapText="1"/>
    </xf>
    <xf numFmtId="164" fontId="2" fillId="3" borderId="14" xfId="0" applyNumberFormat="1" applyFont="1" applyFill="1" applyBorder="1" applyAlignment="1">
      <alignment vertical="center" wrapText="1"/>
    </xf>
    <xf numFmtId="164" fontId="2" fillId="5" borderId="14" xfId="0" applyNumberFormat="1" applyFont="1" applyFill="1" applyBorder="1" applyAlignment="1">
      <alignment vertical="center" wrapText="1"/>
    </xf>
    <xf numFmtId="164" fontId="1" fillId="6" borderId="23" xfId="0" applyNumberFormat="1" applyFont="1" applyFill="1" applyBorder="1" applyAlignment="1">
      <alignment vertical="center" wrapText="1" shrinkToFit="1"/>
    </xf>
    <xf numFmtId="164" fontId="1" fillId="8" borderId="24" xfId="0" applyNumberFormat="1" applyFont="1" applyFill="1" applyBorder="1" applyAlignment="1">
      <alignment vertical="center" wrapText="1" shrinkToFit="1"/>
    </xf>
    <xf numFmtId="164" fontId="1" fillId="8" borderId="1" xfId="0" quotePrefix="1" applyNumberFormat="1" applyFont="1" applyFill="1" applyBorder="1" applyAlignment="1">
      <alignment vertical="center" wrapText="1" shrinkToFit="1"/>
    </xf>
    <xf numFmtId="164" fontId="1" fillId="8" borderId="23" xfId="0" applyNumberFormat="1" applyFont="1" applyFill="1" applyBorder="1"/>
    <xf numFmtId="164" fontId="1" fillId="0" borderId="14" xfId="0" applyNumberFormat="1" applyFont="1" applyBorder="1" applyAlignment="1">
      <alignment horizontal="center" vertical="center"/>
    </xf>
    <xf numFmtId="164" fontId="1" fillId="0" borderId="14" xfId="0" applyNumberFormat="1" applyFont="1" applyBorder="1"/>
    <xf numFmtId="164" fontId="1" fillId="2" borderId="14" xfId="0" applyNumberFormat="1" applyFont="1" applyFill="1" applyBorder="1" applyAlignment="1">
      <alignment horizontal="center"/>
    </xf>
    <xf numFmtId="164" fontId="1" fillId="0" borderId="1" xfId="0" applyNumberFormat="1" applyFont="1" applyFill="1" applyBorder="1"/>
    <xf numFmtId="164" fontId="3" fillId="0" borderId="14" xfId="0" applyNumberFormat="1" applyFont="1" applyFill="1" applyBorder="1"/>
    <xf numFmtId="164" fontId="3" fillId="0" borderId="14" xfId="0" applyNumberFormat="1" applyFont="1" applyFill="1" applyBorder="1" applyAlignment="1">
      <alignment horizontal="right"/>
    </xf>
    <xf numFmtId="164" fontId="3" fillId="0" borderId="1" xfId="0" applyNumberFormat="1" applyFont="1" applyFill="1" applyBorder="1"/>
    <xf numFmtId="164" fontId="3" fillId="0" borderId="0" xfId="0" applyNumberFormat="1" applyFont="1" applyFill="1" applyBorder="1"/>
    <xf numFmtId="164" fontId="3" fillId="0" borderId="0" xfId="0" applyNumberFormat="1" applyFont="1" applyFill="1"/>
    <xf numFmtId="164" fontId="1" fillId="0" borderId="0" xfId="1" applyNumberFormat="1" applyFont="1" applyFill="1" applyBorder="1" applyAlignment="1">
      <alignment vertical="center" wrapText="1" shrinkToFit="1"/>
    </xf>
    <xf numFmtId="164" fontId="1" fillId="0" borderId="0" xfId="0" applyNumberFormat="1" applyFont="1" applyFill="1" applyBorder="1" applyAlignment="1">
      <alignment horizontal="right" vertical="center"/>
    </xf>
    <xf numFmtId="0" fontId="1" fillId="0" borderId="0" xfId="0" applyFont="1" applyFill="1" applyBorder="1" applyAlignment="1">
      <alignment horizontal="right" vertical="center"/>
    </xf>
    <xf numFmtId="164" fontId="1" fillId="0" borderId="0" xfId="0" applyNumberFormat="1" applyFont="1" applyFill="1" applyBorder="1" applyAlignment="1">
      <alignment horizontal="left" vertical="center"/>
    </xf>
    <xf numFmtId="0" fontId="3" fillId="0" borderId="0" xfId="1" applyFont="1" applyFill="1" applyBorder="1" applyAlignment="1">
      <alignment vertical="center" wrapText="1" shrinkToFit="1"/>
    </xf>
    <xf numFmtId="164" fontId="1" fillId="0" borderId="0" xfId="0" applyNumberFormat="1" applyFont="1" applyBorder="1"/>
    <xf numFmtId="164" fontId="6" fillId="0" borderId="0" xfId="0" applyNumberFormat="1" applyFont="1" applyAlignment="1" applyProtection="1">
      <alignment horizontal="center"/>
      <protection locked="0"/>
    </xf>
    <xf numFmtId="49" fontId="6" fillId="0" borderId="0" xfId="0" applyNumberFormat="1" applyFont="1" applyAlignment="1" applyProtection="1">
      <alignment horizontal="center"/>
      <protection locked="0"/>
    </xf>
    <xf numFmtId="2" fontId="6" fillId="0" borderId="0" xfId="0" applyNumberFormat="1" applyFont="1" applyAlignment="1" applyProtection="1">
      <alignment horizontal="right" vertical="center"/>
      <protection locked="0"/>
    </xf>
    <xf numFmtId="2" fontId="6" fillId="0" borderId="0" xfId="0" applyNumberFormat="1" applyFont="1" applyAlignment="1">
      <alignment horizontal="right" vertical="center"/>
    </xf>
    <xf numFmtId="49" fontId="6" fillId="0" borderId="0" xfId="0" quotePrefix="1" applyNumberFormat="1" applyFont="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165" fontId="6" fillId="0" borderId="0" xfId="0" applyNumberFormat="1" applyFont="1" applyAlignment="1" applyProtection="1">
      <alignment horizontal="right" vertical="center"/>
      <protection locked="0"/>
    </xf>
    <xf numFmtId="49" fontId="4" fillId="0" borderId="0" xfId="0" applyNumberFormat="1" applyFont="1"/>
    <xf numFmtId="164" fontId="1" fillId="0" borderId="0" xfId="0" applyNumberFormat="1" applyFont="1" applyFill="1" applyBorder="1" applyAlignment="1">
      <alignment horizontal="center"/>
    </xf>
    <xf numFmtId="164" fontId="1" fillId="0" borderId="0" xfId="0" applyNumberFormat="1" applyFont="1" applyFill="1" applyBorder="1" applyAlignment="1">
      <alignment horizontal="right"/>
    </xf>
    <xf numFmtId="0" fontId="1" fillId="0" borderId="0" xfId="0" applyFont="1" applyFill="1" applyBorder="1" applyAlignment="1">
      <alignment horizontal="right"/>
    </xf>
    <xf numFmtId="164" fontId="1" fillId="0" borderId="0" xfId="0" applyNumberFormat="1" applyFont="1" applyFill="1" applyBorder="1" applyAlignment="1">
      <alignment horizontal="center" vertical="center"/>
    </xf>
    <xf numFmtId="164" fontId="1" fillId="2" borderId="0" xfId="0" applyNumberFormat="1" applyFont="1" applyFill="1" applyBorder="1"/>
    <xf numFmtId="164" fontId="1" fillId="2" borderId="0" xfId="0" applyNumberFormat="1" applyFont="1" applyFill="1" applyBorder="1" applyAlignment="1">
      <alignment vertical="center"/>
    </xf>
    <xf numFmtId="164" fontId="3" fillId="0" borderId="0" xfId="0" applyNumberFormat="1" applyFont="1" applyFill="1" applyBorder="1" applyAlignment="1">
      <alignment vertical="center"/>
    </xf>
    <xf numFmtId="164" fontId="1" fillId="3" borderId="0" xfId="0" applyNumberFormat="1" applyFont="1" applyFill="1" applyBorder="1"/>
    <xf numFmtId="164" fontId="1" fillId="4" borderId="0" xfId="0" applyNumberFormat="1" applyFont="1" applyFill="1" applyBorder="1"/>
    <xf numFmtId="164" fontId="1" fillId="5" borderId="0" xfId="0" applyNumberFormat="1" applyFont="1" applyFill="1" applyBorder="1"/>
    <xf numFmtId="164" fontId="1" fillId="6" borderId="0" xfId="0" applyNumberFormat="1" applyFont="1" applyFill="1" applyBorder="1"/>
    <xf numFmtId="164" fontId="5" fillId="0" borderId="0" xfId="0" applyNumberFormat="1" applyFont="1" applyFill="1" applyBorder="1" applyAlignment="1">
      <alignment horizontal="center"/>
    </xf>
    <xf numFmtId="0" fontId="3" fillId="0" borderId="0" xfId="0" applyFont="1" applyFill="1" applyBorder="1" applyAlignment="1">
      <alignment vertical="center"/>
    </xf>
    <xf numFmtId="164" fontId="2" fillId="0" borderId="0" xfId="0" applyNumberFormat="1" applyFont="1" applyFill="1" applyAlignment="1">
      <alignment horizontal="center" vertical="top"/>
    </xf>
    <xf numFmtId="164" fontId="2" fillId="0" borderId="14" xfId="0" applyNumberFormat="1" applyFont="1" applyBorder="1" applyAlignment="1">
      <alignment horizontal="center"/>
    </xf>
    <xf numFmtId="164" fontId="1" fillId="0" borderId="14" xfId="0" applyNumberFormat="1" applyFont="1" applyFill="1" applyBorder="1" applyAlignment="1">
      <alignment horizontal="center"/>
    </xf>
  </cellXfs>
  <cellStyles count="3">
    <cellStyle name="Normal" xfId="0" builtinId="0"/>
    <cellStyle name="Normal 2" xfId="2"/>
    <cellStyle name="Normal_Auto Tax Calculator 2007-08-09 Version 2 &amp; 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f\CIHM\CHIM%20FILES\tds\2020-21\qtr2\24Q%20%20%20Q-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pecial_Notes"/>
      <sheetName val="EmployerDetails"/>
      <sheetName val="ChallanDetails"/>
      <sheetName val="Annex-I_DeducteeDetails"/>
      <sheetName val="Annex-II_SalaryDetailsN"/>
      <sheetName val="Master"/>
    </sheetNames>
    <sheetDataSet>
      <sheetData sheetId="0"/>
      <sheetData sheetId="1"/>
      <sheetData sheetId="2"/>
      <sheetData sheetId="3"/>
      <sheetData sheetId="4"/>
      <sheetData sheetId="5">
        <row r="2">
          <cell r="D2" t="str">
            <v>92A</v>
          </cell>
        </row>
        <row r="3">
          <cell r="D3" t="str">
            <v>92B</v>
          </cell>
        </row>
        <row r="4">
          <cell r="D4" t="str">
            <v>92C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AP113"/>
  <sheetViews>
    <sheetView tabSelected="1" topLeftCell="A4" zoomScale="55" zoomScaleNormal="55" workbookViewId="0">
      <pane xSplit="2" ySplit="2" topLeftCell="C27" activePane="bottomRight" state="frozen"/>
      <selection activeCell="A4" sqref="A4"/>
      <selection pane="topRight" activeCell="C4" sqref="C4"/>
      <selection pane="bottomLeft" activeCell="A6" sqref="A6"/>
      <selection pane="bottomRight" activeCell="G53" sqref="G53"/>
    </sheetView>
  </sheetViews>
  <sheetFormatPr defaultColWidth="9" defaultRowHeight="18.75"/>
  <cols>
    <col min="1" max="1" width="7.42578125" style="1" customWidth="1"/>
    <col min="2" max="2" width="28" style="2" customWidth="1"/>
    <col min="3" max="3" width="13.42578125" style="4" customWidth="1"/>
    <col min="4" max="4" width="12.140625" style="4" customWidth="1"/>
    <col min="5" max="5" width="15.28515625" style="4" customWidth="1"/>
    <col min="6" max="6" width="13.5703125" style="5" customWidth="1"/>
    <col min="7" max="7" width="13.28515625" style="2" customWidth="1"/>
    <col min="8" max="8" width="11.5703125" style="4" customWidth="1"/>
    <col min="9" max="9" width="11" style="4" customWidth="1"/>
    <col min="10" max="10" width="13.7109375" style="4" customWidth="1"/>
    <col min="11" max="11" width="16.5703125" style="4" customWidth="1"/>
    <col min="12" max="12" width="14" style="4" customWidth="1"/>
    <col min="13" max="13" width="15" style="6" customWidth="1"/>
    <col min="14" max="14" width="16.5703125" style="4" customWidth="1"/>
    <col min="15" max="15" width="12.42578125" style="7" customWidth="1"/>
    <col min="16" max="16" width="9.85546875" style="4" customWidth="1"/>
    <col min="17" max="17" width="12.140625" style="4" customWidth="1"/>
    <col min="18" max="18" width="13.5703125" style="4" customWidth="1"/>
    <col min="19" max="19" width="10.42578125" style="4" customWidth="1"/>
    <col min="20" max="20" width="10" style="4" customWidth="1"/>
    <col min="21" max="21" width="11.85546875" style="8" hidden="1" customWidth="1"/>
    <col min="22" max="22" width="12.7109375" style="4" customWidth="1"/>
    <col min="23" max="23" width="16.140625" style="4" customWidth="1"/>
    <col min="24" max="24" width="15.85546875" style="4" customWidth="1"/>
    <col min="25" max="25" width="16" style="9" customWidth="1"/>
    <col min="26" max="26" width="11.85546875" style="4" hidden="1" customWidth="1"/>
    <col min="27" max="27" width="13.28515625" style="4" customWidth="1"/>
    <col min="28" max="28" width="12.85546875" style="10" customWidth="1"/>
    <col min="29" max="29" width="12.140625" style="11" customWidth="1"/>
    <col min="30" max="30" width="8.5703125" style="4" customWidth="1"/>
    <col min="31" max="32" width="7.42578125" style="4" customWidth="1"/>
    <col min="33" max="33" width="14.5703125" style="2" customWidth="1"/>
    <col min="34" max="34" width="9" style="2"/>
    <col min="35" max="35" width="9.42578125" style="2" bestFit="1" customWidth="1"/>
    <col min="36" max="39" width="9" style="12"/>
    <col min="40" max="40" width="7.42578125" style="12" customWidth="1"/>
    <col min="41" max="42" width="9" style="12"/>
    <col min="43" max="16384" width="9" style="4"/>
  </cols>
  <sheetData>
    <row r="2" spans="1:42">
      <c r="C2" s="3" t="s">
        <v>0</v>
      </c>
      <c r="N2" s="3"/>
    </row>
    <row r="4" spans="1:42" ht="32.1" customHeight="1" thickBot="1">
      <c r="A4" s="202" t="s">
        <v>1</v>
      </c>
      <c r="B4" s="202"/>
      <c r="C4" s="202"/>
      <c r="D4" s="202"/>
      <c r="E4" s="202"/>
      <c r="F4" s="202"/>
      <c r="G4" s="202"/>
      <c r="H4" s="202"/>
      <c r="I4" s="202"/>
      <c r="J4" s="202"/>
      <c r="K4" s="202"/>
      <c r="L4" s="202"/>
      <c r="M4" s="202"/>
      <c r="N4" s="202"/>
      <c r="O4" s="202"/>
      <c r="P4" s="202"/>
      <c r="Q4" s="202"/>
      <c r="R4" s="202"/>
      <c r="S4" s="202"/>
      <c r="T4" s="202"/>
      <c r="U4" s="202"/>
      <c r="V4" s="202"/>
      <c r="W4" s="202"/>
      <c r="X4" s="202"/>
      <c r="Y4" s="13"/>
      <c r="Z4" s="14" t="s">
        <v>2</v>
      </c>
      <c r="AA4" s="14"/>
      <c r="AB4" s="15"/>
      <c r="AC4" s="16"/>
      <c r="AD4" s="17"/>
      <c r="AE4" s="17"/>
      <c r="AF4" s="17"/>
      <c r="AG4" s="17"/>
      <c r="AH4" s="12"/>
    </row>
    <row r="5" spans="1:42" s="47" customFormat="1" ht="49.5" customHeight="1" thickBot="1">
      <c r="A5" s="18" t="s">
        <v>3</v>
      </c>
      <c r="B5" s="19" t="s">
        <v>4</v>
      </c>
      <c r="C5" s="20" t="s">
        <v>5</v>
      </c>
      <c r="D5" s="21" t="s">
        <v>6</v>
      </c>
      <c r="E5" s="21" t="s">
        <v>7</v>
      </c>
      <c r="F5" s="22" t="s">
        <v>8</v>
      </c>
      <c r="G5" s="23" t="s">
        <v>9</v>
      </c>
      <c r="H5" s="24" t="s">
        <v>10</v>
      </c>
      <c r="I5" s="24" t="s">
        <v>11</v>
      </c>
      <c r="J5" s="25" t="s">
        <v>12</v>
      </c>
      <c r="K5" s="21" t="s">
        <v>13</v>
      </c>
      <c r="L5" s="21" t="s">
        <v>14</v>
      </c>
      <c r="M5" s="26" t="s">
        <v>8</v>
      </c>
      <c r="N5" s="27" t="s">
        <v>15</v>
      </c>
      <c r="O5" s="28" t="s">
        <v>16</v>
      </c>
      <c r="P5" s="29" t="s">
        <v>17</v>
      </c>
      <c r="Q5" s="30" t="s">
        <v>18</v>
      </c>
      <c r="R5" s="31" t="s">
        <v>19</v>
      </c>
      <c r="S5" s="32" t="s">
        <v>20</v>
      </c>
      <c r="T5" s="33" t="s">
        <v>21</v>
      </c>
      <c r="U5" s="34"/>
      <c r="V5" s="35" t="s">
        <v>22</v>
      </c>
      <c r="W5" s="36" t="s">
        <v>23</v>
      </c>
      <c r="X5" s="37" t="s">
        <v>24</v>
      </c>
      <c r="Y5" s="38" t="s">
        <v>25</v>
      </c>
      <c r="Z5" s="39" t="s">
        <v>26</v>
      </c>
      <c r="AA5" s="40" t="s">
        <v>27</v>
      </c>
      <c r="AB5" s="41"/>
      <c r="AC5" s="21" t="s">
        <v>13</v>
      </c>
      <c r="AD5" s="12"/>
      <c r="AE5" s="42"/>
      <c r="AF5" s="42"/>
      <c r="AG5" s="43" t="s">
        <v>13</v>
      </c>
      <c r="AH5" s="44"/>
      <c r="AI5" s="44"/>
      <c r="AJ5" s="44"/>
      <c r="AK5" s="12"/>
      <c r="AL5" s="45"/>
      <c r="AM5" s="45"/>
      <c r="AN5" s="45"/>
      <c r="AO5" s="46"/>
      <c r="AP5" s="45"/>
    </row>
    <row r="6" spans="1:42" ht="36" customHeight="1">
      <c r="A6" s="48"/>
      <c r="B6" s="49" t="s">
        <v>28</v>
      </c>
      <c r="C6" s="50"/>
      <c r="D6" s="50"/>
      <c r="E6" s="50"/>
      <c r="F6" s="51"/>
      <c r="G6" s="52"/>
      <c r="H6" s="53"/>
      <c r="I6" s="53"/>
      <c r="J6" s="53"/>
      <c r="K6" s="53"/>
      <c r="L6" s="53"/>
      <c r="M6" s="54"/>
      <c r="N6" s="55"/>
      <c r="O6" s="56"/>
      <c r="P6" s="57"/>
      <c r="Q6" s="58"/>
      <c r="R6" s="57"/>
      <c r="S6" s="57"/>
      <c r="T6" s="57"/>
      <c r="U6" s="59"/>
      <c r="V6" s="60"/>
      <c r="W6" s="60"/>
      <c r="X6" s="61"/>
      <c r="Y6" s="62"/>
      <c r="Z6" s="53"/>
      <c r="AA6" s="63">
        <f t="shared" ref="AA6:AA43" si="0">+Y6*12%</f>
        <v>0</v>
      </c>
      <c r="AB6" s="64"/>
      <c r="AC6" s="53"/>
      <c r="AD6" s="12"/>
      <c r="AE6" s="65"/>
      <c r="AF6" s="65"/>
      <c r="AG6" s="53"/>
      <c r="AH6" s="12"/>
      <c r="AI6" s="12"/>
      <c r="AK6" s="44"/>
      <c r="AO6" s="66"/>
    </row>
    <row r="7" spans="1:42" ht="36" customHeight="1">
      <c r="A7" s="67">
        <v>1</v>
      </c>
      <c r="B7" s="68" t="s">
        <v>29</v>
      </c>
      <c r="C7" s="53">
        <v>29510</v>
      </c>
      <c r="D7" s="53">
        <v>6600</v>
      </c>
      <c r="E7" s="53">
        <f>(C7+D7)*5%</f>
        <v>1805.5</v>
      </c>
      <c r="F7" s="69">
        <f>+C7+D7+E7</f>
        <v>37915.5</v>
      </c>
      <c r="G7" s="53">
        <f>+F7*164%+1</f>
        <v>62182.42</v>
      </c>
      <c r="H7" s="53">
        <f>(C7+D7+E7)*20%</f>
        <v>7583.1</v>
      </c>
      <c r="I7" s="53">
        <v>500</v>
      </c>
      <c r="J7" s="53">
        <v>120</v>
      </c>
      <c r="K7" s="53">
        <v>0</v>
      </c>
      <c r="L7" s="53"/>
      <c r="M7" s="70">
        <f>+F7+G7+H7+I7+J7+K7+L7</f>
        <v>108301.02</v>
      </c>
      <c r="N7" s="53">
        <f>ROUND((F7+G7)*12%,0)</f>
        <v>12012</v>
      </c>
      <c r="O7" s="71">
        <v>10000</v>
      </c>
      <c r="P7" s="53">
        <v>60</v>
      </c>
      <c r="Q7" s="53">
        <v>0</v>
      </c>
      <c r="R7" s="53">
        <v>0</v>
      </c>
      <c r="S7" s="53">
        <v>0</v>
      </c>
      <c r="T7" s="53"/>
      <c r="U7" s="72"/>
      <c r="V7" s="53">
        <f>ROUND(+N7+O7+P7+Q7+R7+S7+T7+U7,0)</f>
        <v>22072</v>
      </c>
      <c r="W7" s="53">
        <f>ROUND(+M7-V7,0)</f>
        <v>86229</v>
      </c>
      <c r="X7" s="61"/>
      <c r="Y7" s="62">
        <f>+F7+G7</f>
        <v>100097.92</v>
      </c>
      <c r="Z7" s="53">
        <f>+G7+F7</f>
        <v>100097.92</v>
      </c>
      <c r="AA7" s="63">
        <f t="shared" si="0"/>
        <v>12011.750399999999</v>
      </c>
      <c r="AB7" s="64">
        <f>+F7*164%</f>
        <v>62181.42</v>
      </c>
      <c r="AC7" s="53"/>
      <c r="AD7" s="12"/>
      <c r="AE7" s="65"/>
      <c r="AF7" s="65"/>
      <c r="AG7" s="53">
        <v>0</v>
      </c>
      <c r="AH7" s="12"/>
      <c r="AI7" s="12"/>
      <c r="AO7" s="66"/>
    </row>
    <row r="8" spans="1:42" ht="36" customHeight="1">
      <c r="A8" s="48"/>
      <c r="B8" s="49" t="s">
        <v>30</v>
      </c>
      <c r="C8" s="50"/>
      <c r="D8" s="50"/>
      <c r="E8" s="50"/>
      <c r="F8" s="51"/>
      <c r="G8" s="52"/>
      <c r="H8" s="53"/>
      <c r="I8" s="53"/>
      <c r="J8" s="53"/>
      <c r="K8" s="53"/>
      <c r="L8" s="53"/>
      <c r="M8" s="70"/>
      <c r="N8" s="73"/>
      <c r="O8" s="74"/>
      <c r="P8" s="53"/>
      <c r="Q8" s="57"/>
      <c r="R8" s="53"/>
      <c r="S8" s="53"/>
      <c r="T8" s="53"/>
      <c r="U8" s="72"/>
      <c r="V8" s="63"/>
      <c r="W8" s="63"/>
      <c r="X8" s="61"/>
      <c r="Y8" s="62"/>
      <c r="Z8" s="53"/>
      <c r="AA8" s="63">
        <f t="shared" si="0"/>
        <v>0</v>
      </c>
      <c r="AB8" s="64"/>
      <c r="AC8" s="53"/>
      <c r="AD8" s="12"/>
      <c r="AE8" s="65"/>
      <c r="AF8" s="65"/>
      <c r="AG8" s="53"/>
      <c r="AH8" s="12"/>
      <c r="AI8" s="12"/>
      <c r="AK8" s="44"/>
      <c r="AO8" s="66"/>
    </row>
    <row r="9" spans="1:42" ht="39.75" customHeight="1">
      <c r="A9" s="67">
        <f>+A7+1</f>
        <v>2</v>
      </c>
      <c r="B9" s="68" t="s">
        <v>31</v>
      </c>
      <c r="C9" s="53">
        <v>30560</v>
      </c>
      <c r="D9" s="53">
        <v>6000</v>
      </c>
      <c r="E9" s="53">
        <f>(C9+D9)*5%</f>
        <v>1828</v>
      </c>
      <c r="F9" s="69">
        <f>+C9+D9+E9</f>
        <v>38388</v>
      </c>
      <c r="G9" s="53">
        <f>+F9*164%</f>
        <v>62956.32</v>
      </c>
      <c r="H9" s="53">
        <v>0</v>
      </c>
      <c r="I9" s="53">
        <v>500</v>
      </c>
      <c r="J9" s="53">
        <v>120</v>
      </c>
      <c r="K9" s="53">
        <v>500</v>
      </c>
      <c r="L9" s="53">
        <v>0</v>
      </c>
      <c r="M9" s="70">
        <f>+F9+G9+H9+I9+J9+K9+L9</f>
        <v>102464.32000000001</v>
      </c>
      <c r="N9" s="53">
        <f>ROUND((F9+G9)*12%,0)</f>
        <v>12161</v>
      </c>
      <c r="O9" s="71">
        <v>10000</v>
      </c>
      <c r="P9" s="53">
        <v>60</v>
      </c>
      <c r="Q9" s="53">
        <v>0</v>
      </c>
      <c r="R9" s="53">
        <v>0</v>
      </c>
      <c r="S9" s="53">
        <f>206*2</f>
        <v>412</v>
      </c>
      <c r="T9" s="53"/>
      <c r="U9" s="72"/>
      <c r="V9" s="53">
        <f>ROUND(+N9+O9+P9+Q9+R9+S9+T9+U9,0)</f>
        <v>22633</v>
      </c>
      <c r="W9" s="53">
        <f>ROUND(+M9-V9,0)</f>
        <v>79831</v>
      </c>
      <c r="X9" s="61"/>
      <c r="Y9" s="62">
        <f t="shared" ref="Y9:Y12" si="1">+F9+G9</f>
        <v>101344.32000000001</v>
      </c>
      <c r="Z9" s="53">
        <f>+G9+F9</f>
        <v>101344.32000000001</v>
      </c>
      <c r="AA9" s="63">
        <f t="shared" si="0"/>
        <v>12161.3184</v>
      </c>
      <c r="AB9" s="64">
        <f>+F9*164%</f>
        <v>62956.32</v>
      </c>
      <c r="AC9" s="53">
        <v>500</v>
      </c>
      <c r="AD9" s="12"/>
      <c r="AE9" s="65"/>
      <c r="AF9" s="65"/>
      <c r="AG9" s="53">
        <v>250</v>
      </c>
      <c r="AH9" s="12"/>
      <c r="AI9" s="12"/>
      <c r="AO9" s="66"/>
    </row>
    <row r="10" spans="1:42" ht="36" customHeight="1">
      <c r="A10" s="67">
        <f t="shared" ref="A10" si="2">+A9+1</f>
        <v>3</v>
      </c>
      <c r="B10" s="68" t="s">
        <v>32</v>
      </c>
      <c r="C10" s="75">
        <v>25800</v>
      </c>
      <c r="D10" s="53">
        <v>5700</v>
      </c>
      <c r="E10" s="53">
        <f t="shared" ref="E10:E11" si="3">(C10+D10)*5%</f>
        <v>1575</v>
      </c>
      <c r="F10" s="69">
        <f t="shared" ref="F10:F11" si="4">+C10+D10+E10</f>
        <v>33075</v>
      </c>
      <c r="G10" s="53">
        <f t="shared" ref="G10:G13" si="5">+F10*164%</f>
        <v>54243</v>
      </c>
      <c r="H10" s="53">
        <f>(C10+D10+E10)*20%</f>
        <v>6615</v>
      </c>
      <c r="I10" s="53">
        <v>500</v>
      </c>
      <c r="J10" s="53">
        <v>120</v>
      </c>
      <c r="K10" s="53">
        <v>500</v>
      </c>
      <c r="L10" s="53"/>
      <c r="M10" s="70">
        <f>+F10+G10+H10+I10+J10+K10+L10</f>
        <v>95053</v>
      </c>
      <c r="N10" s="53">
        <f>ROUND((F10+G10)*12%,0)</f>
        <v>10478</v>
      </c>
      <c r="O10" s="71">
        <v>0</v>
      </c>
      <c r="P10" s="53">
        <v>60</v>
      </c>
      <c r="Q10" s="53">
        <v>0</v>
      </c>
      <c r="R10" s="53">
        <v>0</v>
      </c>
      <c r="S10" s="53">
        <v>0</v>
      </c>
      <c r="T10" s="53"/>
      <c r="U10" s="72"/>
      <c r="V10" s="53">
        <f>ROUND(+N10+O10+P10+Q10+R10+S10+T10+U10,0)</f>
        <v>10538</v>
      </c>
      <c r="W10" s="53">
        <f>ROUND(+M10-V10,0)</f>
        <v>84515</v>
      </c>
      <c r="X10" s="61"/>
      <c r="Y10" s="62">
        <f t="shared" si="1"/>
        <v>87318</v>
      </c>
      <c r="Z10" s="53">
        <f>+G10+F10</f>
        <v>87318</v>
      </c>
      <c r="AA10" s="63">
        <f t="shared" si="0"/>
        <v>10478.16</v>
      </c>
      <c r="AB10" s="64">
        <f>+F10*164%</f>
        <v>54243</v>
      </c>
      <c r="AC10" s="53">
        <v>500</v>
      </c>
      <c r="AD10" s="12"/>
      <c r="AE10" s="65"/>
      <c r="AF10" s="65"/>
      <c r="AG10" s="53">
        <v>250</v>
      </c>
      <c r="AH10" s="12"/>
      <c r="AI10" s="12"/>
      <c r="AO10" s="66"/>
    </row>
    <row r="11" spans="1:42" ht="36" customHeight="1">
      <c r="A11" s="67">
        <f>+A10+1</f>
        <v>4</v>
      </c>
      <c r="B11" s="68" t="s">
        <v>33</v>
      </c>
      <c r="C11" s="53">
        <v>24000</v>
      </c>
      <c r="D11" s="53">
        <v>5700</v>
      </c>
      <c r="E11" s="53">
        <f t="shared" si="3"/>
        <v>1485</v>
      </c>
      <c r="F11" s="69">
        <f t="shared" si="4"/>
        <v>31185</v>
      </c>
      <c r="G11" s="53">
        <f t="shared" si="5"/>
        <v>51143.399999999994</v>
      </c>
      <c r="H11" s="53">
        <v>0</v>
      </c>
      <c r="I11" s="53">
        <v>500</v>
      </c>
      <c r="J11" s="53">
        <v>120</v>
      </c>
      <c r="K11" s="53">
        <v>500</v>
      </c>
      <c r="L11" s="53"/>
      <c r="M11" s="70">
        <f>+F11+G11+H11+I11+J11+K11+L11</f>
        <v>83448.399999999994</v>
      </c>
      <c r="N11" s="53">
        <f>ROUND((F11+G11)*12%,0)</f>
        <v>9879</v>
      </c>
      <c r="O11" s="71">
        <v>1000</v>
      </c>
      <c r="P11" s="53">
        <v>60</v>
      </c>
      <c r="Q11" s="53">
        <v>0</v>
      </c>
      <c r="R11" s="53">
        <v>0</v>
      </c>
      <c r="S11" s="53">
        <v>412</v>
      </c>
      <c r="T11" s="53">
        <v>0</v>
      </c>
      <c r="U11" s="72"/>
      <c r="V11" s="53">
        <f>ROUND(+N11+O11+P11+Q11+R11+S11+T11+U11,0)</f>
        <v>11351</v>
      </c>
      <c r="W11" s="53">
        <f>ROUND(+M11-V11,0)</f>
        <v>72097</v>
      </c>
      <c r="X11" s="61"/>
      <c r="Y11" s="62">
        <f t="shared" si="1"/>
        <v>82328.399999999994</v>
      </c>
      <c r="Z11" s="53">
        <f>+G11+F11</f>
        <v>82328.399999999994</v>
      </c>
      <c r="AA11" s="63">
        <f t="shared" si="0"/>
        <v>9879.4079999999994</v>
      </c>
      <c r="AB11" s="64">
        <f>+F11*164%</f>
        <v>51143.399999999994</v>
      </c>
      <c r="AC11" s="53">
        <v>500</v>
      </c>
      <c r="AD11" s="12"/>
      <c r="AE11" s="65"/>
      <c r="AF11" s="65"/>
      <c r="AG11" s="53">
        <v>250</v>
      </c>
      <c r="AH11" s="12"/>
      <c r="AI11" s="12"/>
      <c r="AO11" s="66"/>
    </row>
    <row r="12" spans="1:42" ht="36" customHeight="1">
      <c r="A12" s="48"/>
      <c r="B12" s="49" t="s">
        <v>34</v>
      </c>
      <c r="C12" s="50"/>
      <c r="D12" s="50"/>
      <c r="E12" s="50"/>
      <c r="F12" s="51"/>
      <c r="G12" s="52"/>
      <c r="H12" s="53"/>
      <c r="I12" s="53"/>
      <c r="J12" s="53"/>
      <c r="K12" s="53"/>
      <c r="L12" s="73"/>
      <c r="M12" s="70"/>
      <c r="N12" s="73"/>
      <c r="O12" s="76"/>
      <c r="P12" s="73"/>
      <c r="Q12" s="57"/>
      <c r="R12" s="73"/>
      <c r="S12" s="73"/>
      <c r="T12" s="73"/>
      <c r="U12" s="77"/>
      <c r="V12" s="63"/>
      <c r="W12" s="63"/>
      <c r="X12" s="61"/>
      <c r="Y12" s="62">
        <f t="shared" si="1"/>
        <v>0</v>
      </c>
      <c r="Z12" s="53"/>
      <c r="AA12" s="63">
        <f t="shared" si="0"/>
        <v>0</v>
      </c>
      <c r="AB12" s="64"/>
      <c r="AC12" s="53"/>
      <c r="AD12" s="12"/>
      <c r="AE12" s="65"/>
      <c r="AF12" s="65"/>
      <c r="AG12" s="53"/>
      <c r="AH12" s="12"/>
      <c r="AI12" s="12"/>
      <c r="AK12" s="44"/>
      <c r="AO12" s="66"/>
    </row>
    <row r="13" spans="1:42" ht="36" customHeight="1">
      <c r="A13" s="48">
        <f>+A11+1</f>
        <v>5</v>
      </c>
      <c r="B13" s="68" t="s">
        <v>35</v>
      </c>
      <c r="C13" s="53">
        <v>34050</v>
      </c>
      <c r="D13" s="78">
        <v>5400</v>
      </c>
      <c r="E13" s="53">
        <f t="shared" ref="E13" si="6">(C13+D13)*5%</f>
        <v>1972.5</v>
      </c>
      <c r="F13" s="69">
        <f t="shared" ref="F13" si="7">+C13+D13+E13</f>
        <v>41422.5</v>
      </c>
      <c r="G13" s="53">
        <f t="shared" si="5"/>
        <v>67932.899999999994</v>
      </c>
      <c r="H13" s="53">
        <f>(C13+D13+E13)*20%</f>
        <v>8284.5</v>
      </c>
      <c r="I13" s="53">
        <v>500</v>
      </c>
      <c r="J13" s="53">
        <v>120</v>
      </c>
      <c r="K13" s="53">
        <v>500</v>
      </c>
      <c r="L13" s="53">
        <f>275</f>
        <v>275</v>
      </c>
      <c r="M13" s="70">
        <f>+F13+G13+H13+I13+J13+K13+L13+1</f>
        <v>119035.9</v>
      </c>
      <c r="N13" s="53">
        <f>ROUND((F13+G13)*12%,0)</f>
        <v>13123</v>
      </c>
      <c r="O13" s="71">
        <v>17000</v>
      </c>
      <c r="P13" s="53">
        <v>60</v>
      </c>
      <c r="Q13" s="53">
        <v>0</v>
      </c>
      <c r="R13" s="53">
        <v>0</v>
      </c>
      <c r="S13" s="53">
        <v>0</v>
      </c>
      <c r="T13" s="53"/>
      <c r="U13" s="72"/>
      <c r="V13" s="53">
        <f>ROUND(+N13+O13+P13+Q13+R13+S13+T13+U13,0)</f>
        <v>30183</v>
      </c>
      <c r="W13" s="53">
        <f>ROUND(+M13-V13,0)</f>
        <v>88853</v>
      </c>
      <c r="X13" s="61"/>
      <c r="Y13" s="62">
        <f>+F13+G13</f>
        <v>109355.4</v>
      </c>
      <c r="Z13" s="53">
        <f>+G13+F13</f>
        <v>109355.4</v>
      </c>
      <c r="AA13" s="63">
        <f t="shared" si="0"/>
        <v>13122.647999999999</v>
      </c>
      <c r="AB13" s="64">
        <f>+F13*164%</f>
        <v>67932.899999999994</v>
      </c>
      <c r="AC13" s="53">
        <v>500</v>
      </c>
      <c r="AD13" s="12"/>
      <c r="AE13" s="65"/>
      <c r="AF13" s="65"/>
      <c r="AG13" s="53">
        <v>250</v>
      </c>
      <c r="AH13" s="12"/>
      <c r="AI13" s="12"/>
      <c r="AO13" s="66"/>
    </row>
    <row r="14" spans="1:42" s="93" customFormat="1" ht="36" customHeight="1" thickBot="1">
      <c r="A14" s="79"/>
      <c r="B14" s="80"/>
      <c r="C14" s="81">
        <f>ROUND(SUM(C6:C13),0)</f>
        <v>143920</v>
      </c>
      <c r="D14" s="81">
        <f>ROUND(SUM(D6:D13),0)</f>
        <v>29400</v>
      </c>
      <c r="E14" s="81">
        <f>ROUND(SUM(E6:E13),0)+1</f>
        <v>8667</v>
      </c>
      <c r="F14" s="82">
        <f>ROUND(SUM(F6:F13),0)+1</f>
        <v>181987</v>
      </c>
      <c r="G14" s="83">
        <f t="shared" ref="G14:L14" si="8">ROUND(SUM(G6:G13),0)</f>
        <v>298458</v>
      </c>
      <c r="H14" s="81">
        <f t="shared" si="8"/>
        <v>22483</v>
      </c>
      <c r="I14" s="81">
        <f t="shared" si="8"/>
        <v>2500</v>
      </c>
      <c r="J14" s="81">
        <f t="shared" si="8"/>
        <v>600</v>
      </c>
      <c r="K14" s="81">
        <f t="shared" si="8"/>
        <v>2000</v>
      </c>
      <c r="L14" s="81">
        <f t="shared" si="8"/>
        <v>275</v>
      </c>
      <c r="M14" s="84">
        <f>SUM(M6:M13)</f>
        <v>508302.64</v>
      </c>
      <c r="N14" s="81">
        <f>ROUND(SUM(N6:N13),0)</f>
        <v>57653</v>
      </c>
      <c r="O14" s="81">
        <f t="shared" ref="O14:U14" si="9">SUM(O6:O13)</f>
        <v>38000</v>
      </c>
      <c r="P14" s="81">
        <f>SUM(P7:P13)</f>
        <v>300</v>
      </c>
      <c r="Q14" s="81">
        <f t="shared" si="9"/>
        <v>0</v>
      </c>
      <c r="R14" s="81">
        <f t="shared" si="9"/>
        <v>0</v>
      </c>
      <c r="S14" s="81">
        <f t="shared" si="9"/>
        <v>824</v>
      </c>
      <c r="T14" s="81">
        <f t="shared" si="9"/>
        <v>0</v>
      </c>
      <c r="U14" s="85">
        <f t="shared" si="9"/>
        <v>0</v>
      </c>
      <c r="V14" s="81">
        <f>ROUND(SUM(V6:V13),0)</f>
        <v>96777</v>
      </c>
      <c r="W14" s="81">
        <f>SUM(W6:W13)</f>
        <v>411525</v>
      </c>
      <c r="X14" s="86"/>
      <c r="Y14" s="87"/>
      <c r="Z14" s="57"/>
      <c r="AA14" s="63">
        <f t="shared" si="0"/>
        <v>0</v>
      </c>
      <c r="AB14" s="88"/>
      <c r="AC14" s="81">
        <f t="shared" ref="AC14" si="10">ROUND(SUM(AC6:AC13),0)</f>
        <v>2000</v>
      </c>
      <c r="AD14" s="12"/>
      <c r="AE14" s="89"/>
      <c r="AF14" s="65"/>
      <c r="AG14" s="81">
        <f t="shared" ref="AG14" si="11">ROUND(SUM(AG6:AG13),0)</f>
        <v>1000</v>
      </c>
      <c r="AH14" s="89"/>
      <c r="AI14" s="12"/>
      <c r="AJ14" s="89"/>
      <c r="AK14" s="90"/>
      <c r="AL14" s="91"/>
      <c r="AM14" s="91"/>
      <c r="AN14" s="91"/>
      <c r="AO14" s="92"/>
      <c r="AP14" s="91"/>
    </row>
    <row r="15" spans="1:42" s="93" customFormat="1" ht="36" customHeight="1" thickTop="1">
      <c r="A15" s="94"/>
      <c r="B15" s="95" t="s">
        <v>36</v>
      </c>
      <c r="C15" s="96"/>
      <c r="D15" s="96"/>
      <c r="E15" s="96"/>
      <c r="F15" s="97"/>
      <c r="G15" s="55"/>
      <c r="H15" s="96"/>
      <c r="I15" s="96"/>
      <c r="J15" s="96"/>
      <c r="K15" s="96"/>
      <c r="L15" s="96"/>
      <c r="M15" s="98"/>
      <c r="N15" s="96"/>
      <c r="O15" s="96"/>
      <c r="P15" s="96"/>
      <c r="Q15" s="96"/>
      <c r="R15" s="96"/>
      <c r="S15" s="96"/>
      <c r="T15" s="96"/>
      <c r="U15" s="99"/>
      <c r="V15" s="96"/>
      <c r="W15" s="100"/>
      <c r="X15" s="101" t="s">
        <v>24</v>
      </c>
      <c r="Y15" s="87"/>
      <c r="Z15" s="53"/>
      <c r="AA15" s="63">
        <f t="shared" si="0"/>
        <v>0</v>
      </c>
      <c r="AB15" s="88"/>
      <c r="AC15" s="96"/>
      <c r="AD15" s="12"/>
      <c r="AE15" s="89"/>
      <c r="AF15" s="65"/>
      <c r="AG15" s="96"/>
      <c r="AH15" s="89"/>
      <c r="AI15" s="12"/>
      <c r="AJ15" s="89"/>
      <c r="AK15" s="90"/>
      <c r="AL15" s="91"/>
      <c r="AM15" s="91"/>
      <c r="AN15" s="91"/>
      <c r="AO15" s="92"/>
      <c r="AP15" s="91"/>
    </row>
    <row r="16" spans="1:42" ht="36" hidden="1" customHeight="1">
      <c r="A16" s="67"/>
      <c r="B16" s="68"/>
      <c r="C16" s="53"/>
      <c r="D16" s="53"/>
      <c r="E16" s="53"/>
      <c r="F16" s="69"/>
      <c r="G16" s="53"/>
      <c r="H16" s="53"/>
      <c r="I16" s="53"/>
      <c r="J16" s="53"/>
      <c r="K16" s="53">
        <v>300</v>
      </c>
      <c r="L16" s="53"/>
      <c r="M16" s="70"/>
      <c r="N16" s="53"/>
      <c r="O16" s="71"/>
      <c r="P16" s="53"/>
      <c r="Q16" s="53"/>
      <c r="R16" s="53"/>
      <c r="S16" s="53"/>
      <c r="T16" s="53"/>
      <c r="U16" s="72"/>
      <c r="V16" s="53"/>
      <c r="W16" s="53"/>
      <c r="X16" s="61"/>
      <c r="Y16" s="62"/>
      <c r="Z16" s="53"/>
      <c r="AA16" s="63"/>
      <c r="AB16" s="64"/>
      <c r="AC16" s="53">
        <v>300</v>
      </c>
      <c r="AD16" s="12"/>
      <c r="AE16" s="65"/>
      <c r="AF16" s="65"/>
      <c r="AG16" s="53"/>
      <c r="AH16" s="12"/>
      <c r="AI16" s="12"/>
      <c r="AO16" s="66"/>
    </row>
    <row r="17" spans="1:42" ht="36" customHeight="1">
      <c r="A17" s="67">
        <f>+A13+1</f>
        <v>6</v>
      </c>
      <c r="B17" s="68" t="s">
        <v>37</v>
      </c>
      <c r="C17" s="53">
        <v>21290</v>
      </c>
      <c r="D17" s="53">
        <v>5000</v>
      </c>
      <c r="E17" s="53">
        <f t="shared" ref="E17:E22" si="12">(C17+D17)*5%</f>
        <v>1314.5</v>
      </c>
      <c r="F17" s="69">
        <f t="shared" ref="F17:F22" si="13">+C17+D17+E17</f>
        <v>27604.5</v>
      </c>
      <c r="G17" s="53">
        <f>+F17*164%+1</f>
        <v>45272.38</v>
      </c>
      <c r="H17" s="53">
        <v>0</v>
      </c>
      <c r="I17" s="53">
        <v>500</v>
      </c>
      <c r="J17" s="53">
        <v>120</v>
      </c>
      <c r="K17" s="53">
        <v>300</v>
      </c>
      <c r="L17" s="53"/>
      <c r="M17" s="70">
        <f t="shared" ref="M17:M22" si="14">+F17+G17+H17+I17+J17+K17+L17</f>
        <v>73796.88</v>
      </c>
      <c r="N17" s="53">
        <f>ROUND((F17+G17)*12%,0)</f>
        <v>8745</v>
      </c>
      <c r="O17" s="71">
        <v>0</v>
      </c>
      <c r="P17" s="53">
        <v>45</v>
      </c>
      <c r="Q17" s="53">
        <v>0</v>
      </c>
      <c r="R17" s="53">
        <v>0</v>
      </c>
      <c r="S17" s="53">
        <v>206</v>
      </c>
      <c r="T17" s="53">
        <v>0</v>
      </c>
      <c r="U17" s="72"/>
      <c r="V17" s="53">
        <f>ROUND(+N17+O17+P17+Q17+R17+S17+T17+U17,0)</f>
        <v>8996</v>
      </c>
      <c r="W17" s="53">
        <f>ROUND(+M17-V17,0)</f>
        <v>64801</v>
      </c>
      <c r="X17" s="61"/>
      <c r="Y17" s="62">
        <f t="shared" ref="Y17:Y19" si="15">+F17+G17</f>
        <v>72876.88</v>
      </c>
      <c r="Z17" s="53">
        <f>+G17+F17</f>
        <v>72876.88</v>
      </c>
      <c r="AA17" s="63">
        <f t="shared" si="0"/>
        <v>8745.2255999999998</v>
      </c>
      <c r="AB17" s="64">
        <f t="shared" ref="AB17:AB22" si="16">+F17*164%</f>
        <v>45271.38</v>
      </c>
      <c r="AC17" s="53">
        <v>300</v>
      </c>
      <c r="AD17" s="12"/>
      <c r="AE17" s="65"/>
      <c r="AF17" s="65"/>
      <c r="AG17" s="53">
        <v>250</v>
      </c>
      <c r="AH17" s="12"/>
      <c r="AI17" s="12"/>
      <c r="AO17" s="66"/>
    </row>
    <row r="18" spans="1:42" ht="36" customHeight="1">
      <c r="A18" s="67">
        <f>+A17+1</f>
        <v>7</v>
      </c>
      <c r="B18" s="68" t="s">
        <v>38</v>
      </c>
      <c r="C18" s="53">
        <v>19200</v>
      </c>
      <c r="D18" s="53">
        <v>5000</v>
      </c>
      <c r="E18" s="53">
        <f t="shared" si="12"/>
        <v>1210</v>
      </c>
      <c r="F18" s="69">
        <f t="shared" si="13"/>
        <v>25410</v>
      </c>
      <c r="G18" s="53">
        <f t="shared" ref="G18:G22" si="17">+F18*164%</f>
        <v>41672.399999999994</v>
      </c>
      <c r="H18" s="53">
        <v>0</v>
      </c>
      <c r="I18" s="53">
        <v>500</v>
      </c>
      <c r="J18" s="53">
        <v>120</v>
      </c>
      <c r="K18" s="53">
        <v>300</v>
      </c>
      <c r="L18" s="53"/>
      <c r="M18" s="70">
        <f t="shared" si="14"/>
        <v>68002.399999999994</v>
      </c>
      <c r="N18" s="53">
        <f>ROUND((F18+G18)*12%,0)</f>
        <v>8050</v>
      </c>
      <c r="O18" s="71">
        <v>3500</v>
      </c>
      <c r="P18" s="53">
        <v>45</v>
      </c>
      <c r="Q18" s="53">
        <v>0</v>
      </c>
      <c r="R18" s="53">
        <v>0</v>
      </c>
      <c r="S18" s="53">
        <v>206</v>
      </c>
      <c r="T18" s="53">
        <v>0</v>
      </c>
      <c r="U18" s="72"/>
      <c r="V18" s="53">
        <f>ROUND(+N18+O18+P18+Q18+R18+S18+T18+U18,0)</f>
        <v>11801</v>
      </c>
      <c r="W18" s="53">
        <f>ROUND(+M18-V18,0)</f>
        <v>56201</v>
      </c>
      <c r="X18" s="61"/>
      <c r="Y18" s="62">
        <f t="shared" si="15"/>
        <v>67082.399999999994</v>
      </c>
      <c r="Z18" s="53">
        <f>+G18+F18</f>
        <v>67082.399999999994</v>
      </c>
      <c r="AA18" s="63">
        <f t="shared" si="0"/>
        <v>8049.887999999999</v>
      </c>
      <c r="AB18" s="64">
        <f t="shared" si="16"/>
        <v>41672.399999999994</v>
      </c>
      <c r="AC18" s="53">
        <v>300</v>
      </c>
      <c r="AD18" s="12"/>
      <c r="AE18" s="65"/>
      <c r="AF18" s="65"/>
      <c r="AG18" s="53">
        <v>250</v>
      </c>
      <c r="AH18" s="12"/>
      <c r="AI18" s="12"/>
      <c r="AO18" s="66"/>
    </row>
    <row r="19" spans="1:42" s="2" customFormat="1" ht="36" customHeight="1">
      <c r="A19" s="48">
        <f>+A18+1</f>
        <v>8</v>
      </c>
      <c r="B19" s="68" t="s">
        <v>39</v>
      </c>
      <c r="C19" s="53">
        <v>19160</v>
      </c>
      <c r="D19" s="78">
        <v>5000</v>
      </c>
      <c r="E19" s="53">
        <f t="shared" si="12"/>
        <v>1208</v>
      </c>
      <c r="F19" s="69">
        <f t="shared" si="13"/>
        <v>25368</v>
      </c>
      <c r="G19" s="53">
        <f t="shared" si="17"/>
        <v>41603.519999999997</v>
      </c>
      <c r="H19" s="53">
        <f>(C19+D19+E19)*20%</f>
        <v>5073.6000000000004</v>
      </c>
      <c r="I19" s="53">
        <v>500</v>
      </c>
      <c r="J19" s="53">
        <v>120</v>
      </c>
      <c r="K19" s="53">
        <v>300</v>
      </c>
      <c r="L19" s="53"/>
      <c r="M19" s="70">
        <f>+F19+G19+H19+I19+J19+K19+L19+1</f>
        <v>72966.12</v>
      </c>
      <c r="N19" s="53">
        <f>ROUND((F19+G19)*12%,0)</f>
        <v>8037</v>
      </c>
      <c r="O19" s="102">
        <v>0</v>
      </c>
      <c r="P19" s="53">
        <v>30</v>
      </c>
      <c r="Q19" s="53">
        <v>0</v>
      </c>
      <c r="R19" s="53">
        <v>0</v>
      </c>
      <c r="S19" s="53">
        <v>0</v>
      </c>
      <c r="T19" s="53">
        <v>0</v>
      </c>
      <c r="U19" s="72"/>
      <c r="V19" s="53">
        <f>ROUND(+N19+O19+P19+Q19+R19+S19+T19+U19,0)</f>
        <v>8067</v>
      </c>
      <c r="W19" s="53">
        <f>ROUND(+M19-V19,0)</f>
        <v>64899</v>
      </c>
      <c r="X19" s="61"/>
      <c r="Y19" s="62">
        <f t="shared" si="15"/>
        <v>66971.51999999999</v>
      </c>
      <c r="Z19" s="53">
        <f>+G19+F19</f>
        <v>66971.51999999999</v>
      </c>
      <c r="AA19" s="63">
        <f t="shared" si="0"/>
        <v>8036.5823999999984</v>
      </c>
      <c r="AB19" s="64">
        <f t="shared" si="16"/>
        <v>41603.519999999997</v>
      </c>
      <c r="AC19" s="53">
        <v>300</v>
      </c>
      <c r="AD19" s="12"/>
      <c r="AE19" s="65"/>
      <c r="AF19" s="65"/>
      <c r="AG19" s="53">
        <v>250</v>
      </c>
      <c r="AH19" s="12"/>
      <c r="AI19" s="12"/>
      <c r="AJ19" s="12"/>
      <c r="AK19" s="12"/>
      <c r="AL19" s="12"/>
      <c r="AM19" s="12"/>
      <c r="AN19" s="12"/>
      <c r="AO19" s="66"/>
      <c r="AP19" s="12"/>
    </row>
    <row r="20" spans="1:42" s="2" customFormat="1" ht="36" hidden="1" customHeight="1">
      <c r="A20" s="48"/>
      <c r="B20" s="95"/>
      <c r="C20" s="95"/>
      <c r="D20" s="95"/>
      <c r="E20" s="53"/>
      <c r="F20" s="69"/>
      <c r="G20" s="53"/>
      <c r="H20" s="53"/>
      <c r="I20" s="53"/>
      <c r="J20" s="53"/>
      <c r="K20" s="73"/>
      <c r="L20" s="73"/>
      <c r="M20" s="70"/>
      <c r="N20" s="53"/>
      <c r="O20" s="76"/>
      <c r="P20" s="73"/>
      <c r="Q20" s="53"/>
      <c r="R20" s="73"/>
      <c r="S20" s="73"/>
      <c r="T20" s="73"/>
      <c r="U20" s="77"/>
      <c r="V20" s="53"/>
      <c r="W20" s="53"/>
      <c r="X20" s="61"/>
      <c r="Y20" s="62"/>
      <c r="Z20" s="53"/>
      <c r="AA20" s="63"/>
      <c r="AB20" s="64"/>
      <c r="AC20" s="73"/>
      <c r="AD20" s="12"/>
      <c r="AE20" s="65"/>
      <c r="AF20" s="65"/>
      <c r="AG20" s="73"/>
      <c r="AH20" s="12"/>
      <c r="AI20" s="12"/>
      <c r="AJ20" s="12"/>
      <c r="AK20" s="12"/>
      <c r="AL20" s="12"/>
      <c r="AM20" s="12"/>
      <c r="AN20" s="12"/>
      <c r="AO20" s="66"/>
      <c r="AP20" s="12"/>
    </row>
    <row r="21" spans="1:42" s="2" customFormat="1" ht="41.25" customHeight="1">
      <c r="A21" s="48">
        <f>+A19+1</f>
        <v>9</v>
      </c>
      <c r="B21" s="68" t="s">
        <v>40</v>
      </c>
      <c r="C21" s="53">
        <v>12335</v>
      </c>
      <c r="D21" s="78">
        <v>2400</v>
      </c>
      <c r="E21" s="53">
        <f t="shared" si="12"/>
        <v>736.75</v>
      </c>
      <c r="F21" s="69">
        <f t="shared" si="13"/>
        <v>15471.75</v>
      </c>
      <c r="G21" s="53">
        <f>+F21*164%</f>
        <v>25373.67</v>
      </c>
      <c r="H21" s="53">
        <v>0</v>
      </c>
      <c r="I21" s="53"/>
      <c r="J21" s="53"/>
      <c r="K21" s="53"/>
      <c r="L21" s="53"/>
      <c r="M21" s="70">
        <f>+F21+G21+H21+I21+J21+K21+L21+1</f>
        <v>40846.42</v>
      </c>
      <c r="N21" s="53">
        <f>ROUND((F21+G21)*12%,0)</f>
        <v>4901</v>
      </c>
      <c r="O21" s="103">
        <v>0</v>
      </c>
      <c r="P21" s="53">
        <v>0</v>
      </c>
      <c r="Q21" s="53">
        <v>0</v>
      </c>
      <c r="R21" s="103"/>
      <c r="S21" s="103">
        <v>206</v>
      </c>
      <c r="T21" s="53">
        <v>0</v>
      </c>
      <c r="U21" s="72">
        <v>0</v>
      </c>
      <c r="V21" s="53">
        <f>ROUND(+N21+O21+P21+Q21+R21+S21+T21+U21,0)</f>
        <v>5107</v>
      </c>
      <c r="W21" s="53">
        <f>ROUND(+M21-V21,0)</f>
        <v>35739</v>
      </c>
      <c r="X21" s="61"/>
      <c r="Y21" s="62">
        <f t="shared" ref="Y21:Y22" si="18">+F21+G21</f>
        <v>40845.42</v>
      </c>
      <c r="Z21" s="53">
        <f>+G21+F21</f>
        <v>40845.42</v>
      </c>
      <c r="AA21" s="63">
        <f t="shared" si="0"/>
        <v>4901.4503999999997</v>
      </c>
      <c r="AB21" s="64">
        <f t="shared" si="16"/>
        <v>25373.67</v>
      </c>
      <c r="AC21" s="53">
        <v>300</v>
      </c>
      <c r="AD21" s="12"/>
      <c r="AE21" s="65"/>
      <c r="AF21" s="65"/>
      <c r="AG21" s="53"/>
      <c r="AH21" s="12"/>
      <c r="AI21" s="12"/>
      <c r="AJ21" s="12"/>
      <c r="AK21" s="12"/>
      <c r="AL21" s="12"/>
      <c r="AM21" s="12"/>
      <c r="AN21" s="12"/>
      <c r="AO21" s="12"/>
      <c r="AP21" s="12"/>
    </row>
    <row r="22" spans="1:42" s="2" customFormat="1" ht="36" customHeight="1">
      <c r="A22" s="48">
        <f t="shared" ref="A22" si="19">+A21+1</f>
        <v>10</v>
      </c>
      <c r="B22" s="68" t="s">
        <v>41</v>
      </c>
      <c r="C22" s="53">
        <f>19070+710</f>
        <v>19780</v>
      </c>
      <c r="D22" s="78">
        <v>4400</v>
      </c>
      <c r="E22" s="53">
        <f t="shared" si="12"/>
        <v>1209</v>
      </c>
      <c r="F22" s="69">
        <f t="shared" si="13"/>
        <v>25389</v>
      </c>
      <c r="G22" s="53">
        <f t="shared" si="17"/>
        <v>41637.96</v>
      </c>
      <c r="H22" s="53">
        <v>0</v>
      </c>
      <c r="I22" s="53">
        <v>500</v>
      </c>
      <c r="J22" s="53">
        <v>120</v>
      </c>
      <c r="K22" s="53">
        <v>300</v>
      </c>
      <c r="L22" s="53">
        <f>1080-480</f>
        <v>600</v>
      </c>
      <c r="M22" s="70">
        <f t="shared" si="14"/>
        <v>68546.959999999992</v>
      </c>
      <c r="N22" s="53">
        <f>ROUND((F22+G22)*12%,0)</f>
        <v>8043</v>
      </c>
      <c r="O22" s="71">
        <v>3000</v>
      </c>
      <c r="P22" s="53">
        <v>30</v>
      </c>
      <c r="Q22" s="53">
        <v>0</v>
      </c>
      <c r="R22" s="53">
        <v>0</v>
      </c>
      <c r="S22" s="53">
        <v>412</v>
      </c>
      <c r="T22" s="53">
        <v>0</v>
      </c>
      <c r="U22" s="72">
        <v>0</v>
      </c>
      <c r="V22" s="53">
        <f>ROUND(+N22+O22+P22+Q22+R22+S22+T22+U22,0)</f>
        <v>11485</v>
      </c>
      <c r="W22" s="53">
        <f>ROUND(+M22-V22,0)</f>
        <v>57062</v>
      </c>
      <c r="X22" s="61"/>
      <c r="Y22" s="62">
        <f t="shared" si="18"/>
        <v>67026.959999999992</v>
      </c>
      <c r="Z22" s="53">
        <f>+G22+F22</f>
        <v>67026.959999999992</v>
      </c>
      <c r="AA22" s="63">
        <f t="shared" si="0"/>
        <v>8043.2351999999992</v>
      </c>
      <c r="AB22" s="64">
        <f t="shared" si="16"/>
        <v>41637.96</v>
      </c>
      <c r="AC22" s="53">
        <v>300</v>
      </c>
      <c r="AD22" s="12"/>
      <c r="AE22" s="65"/>
      <c r="AF22" s="65"/>
      <c r="AG22" s="53">
        <v>175</v>
      </c>
      <c r="AH22" s="12"/>
      <c r="AI22" s="12"/>
      <c r="AJ22" s="12"/>
      <c r="AK22" s="12"/>
      <c r="AL22" s="12"/>
      <c r="AM22" s="12"/>
      <c r="AN22" s="12"/>
      <c r="AO22" s="66"/>
      <c r="AP22" s="12"/>
    </row>
    <row r="23" spans="1:42" s="93" customFormat="1" ht="36" customHeight="1" thickBot="1">
      <c r="A23" s="94"/>
      <c r="B23" s="104"/>
      <c r="C23" s="81">
        <f>ROUND(SUM(C16:C22),0)</f>
        <v>91765</v>
      </c>
      <c r="D23" s="81">
        <f>ROUND(SUM(D16:D22),0)</f>
        <v>21800</v>
      </c>
      <c r="E23" s="81">
        <f>ROUND(SUM(E16:E22),0)+1</f>
        <v>5679</v>
      </c>
      <c r="F23" s="82">
        <f>ROUND(SUM(F16:F22),0)+2</f>
        <v>119245</v>
      </c>
      <c r="G23" s="83">
        <f t="shared" ref="G23:L23" si="20">ROUND(SUM(G16:G22),0)</f>
        <v>195560</v>
      </c>
      <c r="H23" s="81">
        <f t="shared" si="20"/>
        <v>5074</v>
      </c>
      <c r="I23" s="81">
        <f t="shared" si="20"/>
        <v>2000</v>
      </c>
      <c r="J23" s="81">
        <f t="shared" si="20"/>
        <v>480</v>
      </c>
      <c r="K23" s="81">
        <f>+K17+K18+K19+K21+K22</f>
        <v>1200</v>
      </c>
      <c r="L23" s="81">
        <f t="shared" si="20"/>
        <v>600</v>
      </c>
      <c r="M23" s="105">
        <f>SUM(M16:M22)-1</f>
        <v>324157.78000000003</v>
      </c>
      <c r="N23" s="81">
        <f t="shared" ref="N23:U23" si="21">SUM(N16:N22)</f>
        <v>37776</v>
      </c>
      <c r="O23" s="81">
        <f t="shared" si="21"/>
        <v>6500</v>
      </c>
      <c r="P23" s="81">
        <f>SUM(P16:P22)</f>
        <v>150</v>
      </c>
      <c r="Q23" s="81">
        <f t="shared" si="21"/>
        <v>0</v>
      </c>
      <c r="R23" s="81">
        <f t="shared" si="21"/>
        <v>0</v>
      </c>
      <c r="S23" s="81">
        <f t="shared" si="21"/>
        <v>1030</v>
      </c>
      <c r="T23" s="81">
        <f t="shared" si="21"/>
        <v>0</v>
      </c>
      <c r="U23" s="85">
        <f t="shared" si="21"/>
        <v>0</v>
      </c>
      <c r="V23" s="81">
        <f>ROUND(SUM(V16:V22),0)</f>
        <v>45456</v>
      </c>
      <c r="W23" s="81">
        <f>SUM(W15:W22)</f>
        <v>278702</v>
      </c>
      <c r="X23" s="106"/>
      <c r="Y23" s="87"/>
      <c r="Z23" s="53"/>
      <c r="AA23" s="63">
        <f t="shared" si="0"/>
        <v>0</v>
      </c>
      <c r="AB23" s="88"/>
      <c r="AC23" s="81">
        <f t="shared" ref="AC23" si="22">ROUND(SUM(AC16:AC22),0)</f>
        <v>1800</v>
      </c>
      <c r="AD23" s="12"/>
      <c r="AE23" s="89"/>
      <c r="AF23" s="65"/>
      <c r="AG23" s="81">
        <f t="shared" ref="AG23" si="23">ROUND(SUM(AG16:AG22),0)</f>
        <v>925</v>
      </c>
      <c r="AH23" s="89"/>
      <c r="AI23" s="12"/>
      <c r="AJ23" s="89"/>
      <c r="AK23" s="90"/>
      <c r="AL23" s="91"/>
      <c r="AM23" s="91"/>
      <c r="AN23" s="91"/>
      <c r="AO23" s="92"/>
      <c r="AP23" s="91"/>
    </row>
    <row r="24" spans="1:42" s="93" customFormat="1" ht="36" customHeight="1" thickTop="1" thickBot="1">
      <c r="A24" s="107"/>
      <c r="B24" s="95" t="s">
        <v>42</v>
      </c>
      <c r="C24" s="108"/>
      <c r="D24" s="108"/>
      <c r="E24" s="108"/>
      <c r="F24" s="109"/>
      <c r="G24" s="110"/>
      <c r="H24" s="111"/>
      <c r="I24" s="111"/>
      <c r="J24" s="111"/>
      <c r="K24" s="111"/>
      <c r="L24" s="111"/>
      <c r="M24" s="112"/>
      <c r="N24" s="111"/>
      <c r="O24" s="89"/>
      <c r="P24" s="111"/>
      <c r="Q24" s="111"/>
      <c r="R24" s="111"/>
      <c r="S24" s="111"/>
      <c r="T24" s="111"/>
      <c r="U24" s="113"/>
      <c r="V24" s="114"/>
      <c r="W24" s="115"/>
      <c r="X24" s="116" t="s">
        <v>24</v>
      </c>
      <c r="Y24" s="87"/>
      <c r="Z24" s="53"/>
      <c r="AA24" s="63">
        <f t="shared" si="0"/>
        <v>0</v>
      </c>
      <c r="AB24" s="88"/>
      <c r="AC24" s="111"/>
      <c r="AD24" s="12"/>
      <c r="AE24" s="89"/>
      <c r="AF24" s="65"/>
      <c r="AG24" s="111"/>
      <c r="AH24" s="89"/>
      <c r="AI24" s="12"/>
      <c r="AJ24" s="89"/>
      <c r="AK24" s="90"/>
      <c r="AL24" s="91"/>
      <c r="AM24" s="91"/>
      <c r="AN24" s="91"/>
      <c r="AO24" s="92"/>
      <c r="AP24" s="91"/>
    </row>
    <row r="25" spans="1:42" ht="36" customHeight="1">
      <c r="A25" s="48">
        <f>+A22+1</f>
        <v>11</v>
      </c>
      <c r="B25" s="68" t="s">
        <v>43</v>
      </c>
      <c r="C25" s="53">
        <v>18820</v>
      </c>
      <c r="D25" s="78">
        <v>3800</v>
      </c>
      <c r="E25" s="53">
        <f>(C25+D25)*5%</f>
        <v>1131</v>
      </c>
      <c r="F25" s="69">
        <f>+C25+D25+E25</f>
        <v>23751</v>
      </c>
      <c r="G25" s="53">
        <f t="shared" ref="G25" si="24">+F25*164%</f>
        <v>38951.64</v>
      </c>
      <c r="H25" s="53">
        <f>(C25+D25+E25)*20%</f>
        <v>4750.2</v>
      </c>
      <c r="I25" s="53">
        <v>500</v>
      </c>
      <c r="J25" s="53">
        <v>120</v>
      </c>
      <c r="K25" s="53">
        <v>250</v>
      </c>
      <c r="L25" s="53">
        <v>400</v>
      </c>
      <c r="M25" s="70">
        <f>+F25+G25+H25+I25+J25+K25+L25</f>
        <v>68722.84</v>
      </c>
      <c r="N25" s="53">
        <f>ROUND((F25+G25)*12%,0)</f>
        <v>7524</v>
      </c>
      <c r="O25" s="76">
        <v>0</v>
      </c>
      <c r="P25" s="53">
        <v>30</v>
      </c>
      <c r="Q25" s="53">
        <v>0</v>
      </c>
      <c r="R25" s="53">
        <v>0</v>
      </c>
      <c r="S25" s="53">
        <v>0</v>
      </c>
      <c r="T25" s="53"/>
      <c r="U25" s="72"/>
      <c r="V25" s="53">
        <f>ROUND(+N25+O25+P25+Q25+R25+S25+T25+U25,0)</f>
        <v>7554</v>
      </c>
      <c r="W25" s="53">
        <f>ROUND(+M25-V25,0)</f>
        <v>61169</v>
      </c>
      <c r="X25" s="61"/>
      <c r="Y25" s="62">
        <f>+F25+G25</f>
        <v>62702.64</v>
      </c>
      <c r="Z25" s="53">
        <f>+G25+F25</f>
        <v>62702.64</v>
      </c>
      <c r="AA25" s="63">
        <f t="shared" si="0"/>
        <v>7524.3167999999996</v>
      </c>
      <c r="AB25" s="64">
        <f>+F25*164%</f>
        <v>38951.64</v>
      </c>
      <c r="AC25" s="53">
        <v>250</v>
      </c>
      <c r="AD25" s="12"/>
      <c r="AE25" s="65"/>
      <c r="AF25" s="65"/>
      <c r="AG25" s="53">
        <v>150</v>
      </c>
      <c r="AH25" s="12"/>
      <c r="AI25" s="12"/>
      <c r="AO25" s="66"/>
    </row>
    <row r="26" spans="1:42" ht="36" customHeight="1">
      <c r="A26" s="48"/>
      <c r="B26" s="95" t="s">
        <v>44</v>
      </c>
      <c r="C26" s="95"/>
      <c r="D26" s="95"/>
      <c r="E26" s="95"/>
      <c r="F26" s="69">
        <f>(C26+D26+E26)</f>
        <v>0</v>
      </c>
      <c r="G26" s="117"/>
      <c r="H26" s="53"/>
      <c r="I26" s="53"/>
      <c r="J26" s="53"/>
      <c r="K26" s="73"/>
      <c r="L26" s="73"/>
      <c r="M26" s="70"/>
      <c r="N26" s="73"/>
      <c r="O26" s="76"/>
      <c r="P26" s="73"/>
      <c r="Q26" s="57"/>
      <c r="R26" s="73"/>
      <c r="S26" s="73"/>
      <c r="T26" s="73"/>
      <c r="U26" s="77"/>
      <c r="V26" s="53">
        <f>ROUND(+N26+O26+P26+Q26+R26+S26+T26+U26,0)</f>
        <v>0</v>
      </c>
      <c r="W26" s="63"/>
      <c r="X26" s="61"/>
      <c r="Y26" s="62"/>
      <c r="Z26" s="53"/>
      <c r="AA26" s="63">
        <f t="shared" si="0"/>
        <v>0</v>
      </c>
      <c r="AB26" s="64"/>
      <c r="AC26" s="73"/>
      <c r="AD26" s="12"/>
      <c r="AE26" s="65"/>
      <c r="AF26" s="65"/>
      <c r="AG26" s="73"/>
      <c r="AH26" s="89"/>
      <c r="AI26" s="12"/>
      <c r="AJ26" s="89"/>
      <c r="AK26" s="44"/>
      <c r="AO26" s="66"/>
    </row>
    <row r="27" spans="1:42" s="2" customFormat="1" ht="36" customHeight="1">
      <c r="A27" s="48">
        <v>12</v>
      </c>
      <c r="B27" s="68" t="s">
        <v>45</v>
      </c>
      <c r="C27" s="53">
        <v>17970</v>
      </c>
      <c r="D27" s="78">
        <v>3200</v>
      </c>
      <c r="E27" s="53">
        <f t="shared" ref="E27:E28" si="25">(C27+D27)*5%</f>
        <v>1058.5</v>
      </c>
      <c r="F27" s="69">
        <f>+C27+D27+E27</f>
        <v>22228.5</v>
      </c>
      <c r="G27" s="53">
        <f>+F27*164%+1</f>
        <v>36455.74</v>
      </c>
      <c r="H27" s="53">
        <v>0</v>
      </c>
      <c r="I27" s="53">
        <v>500</v>
      </c>
      <c r="J27" s="53">
        <v>120</v>
      </c>
      <c r="K27" s="53">
        <v>250</v>
      </c>
      <c r="L27" s="103">
        <f>810</f>
        <v>810</v>
      </c>
      <c r="M27" s="70">
        <f>+F27+G27+H27+I27+J27+K27+L27</f>
        <v>60364.24</v>
      </c>
      <c r="N27" s="53">
        <f>ROUND((F27+G27)*12%,0)</f>
        <v>7042</v>
      </c>
      <c r="O27" s="76">
        <v>0</v>
      </c>
      <c r="P27" s="53">
        <v>30</v>
      </c>
      <c r="Q27" s="53">
        <v>0</v>
      </c>
      <c r="R27" s="103">
        <v>0</v>
      </c>
      <c r="S27" s="53">
        <v>173</v>
      </c>
      <c r="T27" s="53"/>
      <c r="U27" s="72">
        <v>0</v>
      </c>
      <c r="V27" s="53">
        <f>ROUND(+N27+O27+P27+Q27+R27+S27+T27+U27,0)</f>
        <v>7245</v>
      </c>
      <c r="W27" s="53">
        <f>ROUND(+M27-V27,0)</f>
        <v>53119</v>
      </c>
      <c r="X27" s="61"/>
      <c r="Y27" s="62">
        <f>+F27+G27</f>
        <v>58684.24</v>
      </c>
      <c r="Z27" s="53">
        <f>+G27+F27</f>
        <v>58684.24</v>
      </c>
      <c r="AA27" s="63">
        <f t="shared" si="0"/>
        <v>7042.1087999999991</v>
      </c>
      <c r="AB27" s="64">
        <f>+F27*164%</f>
        <v>36454.74</v>
      </c>
      <c r="AC27" s="53">
        <v>250</v>
      </c>
      <c r="AD27" s="12"/>
      <c r="AE27" s="65"/>
      <c r="AF27" s="65"/>
      <c r="AG27" s="53">
        <v>150</v>
      </c>
      <c r="AH27" s="12"/>
      <c r="AI27" s="12"/>
      <c r="AJ27" s="12"/>
      <c r="AK27" s="12"/>
      <c r="AL27" s="12"/>
      <c r="AM27" s="12"/>
      <c r="AN27" s="12"/>
      <c r="AO27" s="66"/>
      <c r="AP27" s="12"/>
    </row>
    <row r="28" spans="1:42" s="2" customFormat="1" ht="36" customHeight="1">
      <c r="A28" s="118">
        <v>13</v>
      </c>
      <c r="B28" s="119" t="s">
        <v>46</v>
      </c>
      <c r="C28" s="120">
        <v>15530</v>
      </c>
      <c r="D28" s="121">
        <v>3200</v>
      </c>
      <c r="E28" s="53">
        <f t="shared" si="25"/>
        <v>936.5</v>
      </c>
      <c r="F28" s="69">
        <f>+C28+D28+E28</f>
        <v>19666.5</v>
      </c>
      <c r="G28" s="53">
        <f>+F28*164%</f>
        <v>32253.059999999998</v>
      </c>
      <c r="H28" s="120">
        <v>0</v>
      </c>
      <c r="I28" s="120">
        <v>500.00000000000006</v>
      </c>
      <c r="J28" s="120">
        <v>120</v>
      </c>
      <c r="K28" s="120">
        <v>250.00000000000003</v>
      </c>
      <c r="L28" s="120">
        <v>1400</v>
      </c>
      <c r="M28" s="70">
        <f>+F28+G28+H28+I28+J28+K28+L28</f>
        <v>54189.56</v>
      </c>
      <c r="N28" s="53">
        <f>ROUND((F28+G28)*12%,0)</f>
        <v>6230</v>
      </c>
      <c r="O28" s="120">
        <v>0</v>
      </c>
      <c r="P28" s="120">
        <v>30</v>
      </c>
      <c r="Q28" s="53">
        <v>0</v>
      </c>
      <c r="R28" s="120">
        <v>0</v>
      </c>
      <c r="S28" s="120">
        <f>173*2</f>
        <v>346</v>
      </c>
      <c r="T28" s="120">
        <v>0</v>
      </c>
      <c r="U28" s="120"/>
      <c r="V28" s="120">
        <f>SUM(N28:U28)</f>
        <v>6606</v>
      </c>
      <c r="W28" s="120">
        <f>+M28-V28</f>
        <v>47583.56</v>
      </c>
      <c r="X28" s="122">
        <v>0</v>
      </c>
      <c r="Y28" s="123">
        <f>46749-1</f>
        <v>46748</v>
      </c>
      <c r="Z28" s="120">
        <v>46748.953999999998</v>
      </c>
      <c r="AA28" s="124">
        <v>5609.8744800000004</v>
      </c>
      <c r="AB28" s="64">
        <f>+F28*164%</f>
        <v>32253.059999999998</v>
      </c>
      <c r="AC28" s="120">
        <v>250.00000000000003</v>
      </c>
      <c r="AD28" s="44"/>
      <c r="AE28" s="125"/>
      <c r="AF28" s="125"/>
      <c r="AG28" s="120">
        <v>150</v>
      </c>
      <c r="AH28" s="44"/>
      <c r="AI28" s="44"/>
      <c r="AJ28" s="44"/>
      <c r="AK28" s="44"/>
      <c r="AL28" s="44"/>
      <c r="AM28" s="44"/>
      <c r="AN28" s="44"/>
      <c r="AO28" s="126"/>
      <c r="AP28" s="44"/>
    </row>
    <row r="29" spans="1:42" s="2" customFormat="1" ht="36" customHeight="1">
      <c r="A29" s="48"/>
      <c r="B29" s="95" t="s">
        <v>47</v>
      </c>
      <c r="C29" s="117"/>
      <c r="D29" s="95"/>
      <c r="E29" s="95"/>
      <c r="F29" s="127"/>
      <c r="G29" s="117"/>
      <c r="H29" s="53"/>
      <c r="I29" s="53"/>
      <c r="J29" s="53"/>
      <c r="K29" s="73"/>
      <c r="L29" s="73"/>
      <c r="M29" s="128"/>
      <c r="N29" s="73"/>
      <c r="O29" s="76"/>
      <c r="P29" s="73"/>
      <c r="Q29" s="53">
        <v>0</v>
      </c>
      <c r="R29" s="73"/>
      <c r="S29" s="73"/>
      <c r="T29" s="73"/>
      <c r="U29" s="77"/>
      <c r="V29" s="53"/>
      <c r="W29" s="63"/>
      <c r="X29" s="61"/>
      <c r="Y29" s="62"/>
      <c r="Z29" s="53"/>
      <c r="AA29" s="63">
        <f t="shared" si="0"/>
        <v>0</v>
      </c>
      <c r="AB29" s="64"/>
      <c r="AC29" s="73"/>
      <c r="AD29" s="12"/>
      <c r="AE29" s="65"/>
      <c r="AF29" s="65"/>
      <c r="AG29" s="73"/>
      <c r="AH29" s="12"/>
      <c r="AI29" s="12"/>
      <c r="AJ29" s="12"/>
      <c r="AK29" s="44"/>
      <c r="AL29" s="12"/>
      <c r="AM29" s="12"/>
      <c r="AN29" s="12"/>
      <c r="AO29" s="66"/>
      <c r="AP29" s="12"/>
    </row>
    <row r="30" spans="1:42" s="2" customFormat="1" ht="36" customHeight="1">
      <c r="A30" s="48">
        <f>+A28+1</f>
        <v>14</v>
      </c>
      <c r="B30" s="68" t="s">
        <v>48</v>
      </c>
      <c r="C30" s="53">
        <v>25000</v>
      </c>
      <c r="D30" s="78">
        <v>0</v>
      </c>
      <c r="E30" s="53">
        <v>0</v>
      </c>
      <c r="F30" s="69">
        <f t="shared" ref="F30:F37" si="26">+C30+D30+E30</f>
        <v>25000</v>
      </c>
      <c r="G30" s="53">
        <v>0</v>
      </c>
      <c r="H30" s="53">
        <v>0</v>
      </c>
      <c r="I30" s="53">
        <v>0</v>
      </c>
      <c r="J30" s="53">
        <v>0</v>
      </c>
      <c r="K30" s="53">
        <v>0</v>
      </c>
      <c r="L30" s="53">
        <v>0</v>
      </c>
      <c r="M30" s="70">
        <f>+C30</f>
        <v>25000</v>
      </c>
      <c r="N30" s="53">
        <f>ROUND((F30+G30)*12%,0)</f>
        <v>3000</v>
      </c>
      <c r="O30" s="76">
        <v>0</v>
      </c>
      <c r="P30" s="53"/>
      <c r="Q30" s="53">
        <v>0</v>
      </c>
      <c r="R30" s="53"/>
      <c r="S30" s="53">
        <v>173</v>
      </c>
      <c r="T30" s="53"/>
      <c r="U30" s="72"/>
      <c r="V30" s="53">
        <f>ROUND(+N30+O30+P30+Q30+R30+S30+T30+U30,0)</f>
        <v>3173</v>
      </c>
      <c r="W30" s="53">
        <f>+M30-V30</f>
        <v>21827</v>
      </c>
      <c r="X30" s="61"/>
      <c r="Y30" s="62">
        <f t="shared" ref="Y30:Y32" si="27">+F30+G30</f>
        <v>25000</v>
      </c>
      <c r="Z30" s="53"/>
      <c r="AA30" s="63">
        <f t="shared" si="0"/>
        <v>3000</v>
      </c>
      <c r="AB30" s="64">
        <f>+F30*164%</f>
        <v>41000</v>
      </c>
      <c r="AC30" s="53">
        <v>0</v>
      </c>
      <c r="AD30" s="12"/>
      <c r="AE30" s="65"/>
      <c r="AF30" s="65"/>
      <c r="AG30" s="53">
        <v>0</v>
      </c>
      <c r="AH30" s="12"/>
      <c r="AI30" s="12"/>
      <c r="AJ30" s="12"/>
      <c r="AK30" s="12"/>
      <c r="AL30" s="12"/>
      <c r="AM30" s="12"/>
      <c r="AN30" s="12"/>
      <c r="AO30" s="66"/>
      <c r="AP30" s="12"/>
    </row>
    <row r="31" spans="1:42" s="2" customFormat="1" ht="36" customHeight="1">
      <c r="A31" s="48">
        <f>+A30+1</f>
        <v>15</v>
      </c>
      <c r="B31" s="68" t="s">
        <v>49</v>
      </c>
      <c r="C31" s="53">
        <v>25000</v>
      </c>
      <c r="D31" s="78">
        <v>0</v>
      </c>
      <c r="E31" s="53">
        <v>0</v>
      </c>
      <c r="F31" s="69">
        <f t="shared" si="26"/>
        <v>25000</v>
      </c>
      <c r="G31" s="53">
        <v>0</v>
      </c>
      <c r="H31" s="53">
        <v>0</v>
      </c>
      <c r="I31" s="53">
        <v>0</v>
      </c>
      <c r="J31" s="53">
        <v>0</v>
      </c>
      <c r="K31" s="53">
        <v>0</v>
      </c>
      <c r="L31" s="53">
        <v>0</v>
      </c>
      <c r="M31" s="70">
        <f t="shared" ref="M31:M33" si="28">+C31</f>
        <v>25000</v>
      </c>
      <c r="N31" s="53">
        <f>ROUND((F31+G31)*12%,0)</f>
        <v>3000</v>
      </c>
      <c r="O31" s="76">
        <v>0</v>
      </c>
      <c r="P31" s="53"/>
      <c r="Q31" s="53">
        <v>0</v>
      </c>
      <c r="R31" s="53"/>
      <c r="S31" s="53">
        <v>173</v>
      </c>
      <c r="T31" s="53"/>
      <c r="U31" s="72"/>
      <c r="V31" s="53">
        <f>ROUND(+N31+O31+P31+Q31+R31+S31+T31+U31,0)</f>
        <v>3173</v>
      </c>
      <c r="W31" s="53">
        <f>+M31-V31</f>
        <v>21827</v>
      </c>
      <c r="X31" s="61"/>
      <c r="Y31" s="62">
        <f t="shared" si="27"/>
        <v>25000</v>
      </c>
      <c r="Z31" s="53"/>
      <c r="AA31" s="63">
        <f t="shared" si="0"/>
        <v>3000</v>
      </c>
      <c r="AB31" s="64">
        <f>+F31*164%</f>
        <v>41000</v>
      </c>
      <c r="AC31" s="53">
        <v>0</v>
      </c>
      <c r="AD31" s="12"/>
      <c r="AE31" s="65"/>
      <c r="AF31" s="65"/>
      <c r="AG31" s="53">
        <v>0</v>
      </c>
      <c r="AH31" s="12"/>
      <c r="AI31" s="12"/>
      <c r="AJ31" s="12"/>
      <c r="AK31" s="12"/>
      <c r="AL31" s="12"/>
      <c r="AM31" s="12"/>
      <c r="AN31" s="12"/>
      <c r="AO31" s="66"/>
      <c r="AP31" s="12"/>
    </row>
    <row r="32" spans="1:42" s="2" customFormat="1" ht="36" customHeight="1">
      <c r="A32" s="48">
        <f t="shared" ref="A32:A33" si="29">+A31+1</f>
        <v>16</v>
      </c>
      <c r="B32" s="68" t="s">
        <v>50</v>
      </c>
      <c r="C32" s="53">
        <v>25000</v>
      </c>
      <c r="D32" s="78">
        <v>0</v>
      </c>
      <c r="E32" s="53">
        <v>0</v>
      </c>
      <c r="F32" s="69">
        <f t="shared" si="26"/>
        <v>25000</v>
      </c>
      <c r="G32" s="53">
        <v>0</v>
      </c>
      <c r="H32" s="53">
        <v>0</v>
      </c>
      <c r="I32" s="53">
        <v>0</v>
      </c>
      <c r="J32" s="53">
        <v>0</v>
      </c>
      <c r="K32" s="53">
        <v>0</v>
      </c>
      <c r="L32" s="53">
        <v>0</v>
      </c>
      <c r="M32" s="70">
        <f t="shared" si="28"/>
        <v>25000</v>
      </c>
      <c r="N32" s="53">
        <f>ROUND((F32+G32)*12%,0)</f>
        <v>3000</v>
      </c>
      <c r="O32" s="76">
        <v>0</v>
      </c>
      <c r="P32" s="53"/>
      <c r="Q32" s="53">
        <v>0</v>
      </c>
      <c r="R32" s="53"/>
      <c r="S32" s="53">
        <v>153</v>
      </c>
      <c r="T32" s="53"/>
      <c r="U32" s="72"/>
      <c r="V32" s="53">
        <f>ROUND(+N32+O32+P32+Q32+R32+S32+T32+U32,0)</f>
        <v>3153</v>
      </c>
      <c r="W32" s="53">
        <f>+M32-V32</f>
        <v>21847</v>
      </c>
      <c r="X32" s="61"/>
      <c r="Y32" s="62">
        <f t="shared" si="27"/>
        <v>25000</v>
      </c>
      <c r="Z32" s="53"/>
      <c r="AA32" s="63">
        <f t="shared" si="0"/>
        <v>3000</v>
      </c>
      <c r="AB32" s="64">
        <f>+F32*164%</f>
        <v>41000</v>
      </c>
      <c r="AC32" s="53">
        <v>0</v>
      </c>
      <c r="AD32" s="12"/>
      <c r="AE32" s="65"/>
      <c r="AF32" s="65"/>
      <c r="AG32" s="53">
        <v>0</v>
      </c>
      <c r="AH32" s="12"/>
      <c r="AI32" s="12"/>
      <c r="AJ32" s="12"/>
      <c r="AK32" s="12"/>
      <c r="AL32" s="12"/>
      <c r="AM32" s="12"/>
      <c r="AN32" s="12"/>
      <c r="AO32" s="66"/>
      <c r="AP32" s="12"/>
    </row>
    <row r="33" spans="1:42" s="2" customFormat="1" ht="36" customHeight="1">
      <c r="A33" s="48">
        <f t="shared" si="29"/>
        <v>17</v>
      </c>
      <c r="B33" s="129" t="s">
        <v>51</v>
      </c>
      <c r="C33" s="53">
        <v>25000</v>
      </c>
      <c r="D33" s="78">
        <v>0</v>
      </c>
      <c r="E33" s="53">
        <v>0</v>
      </c>
      <c r="F33" s="69">
        <f t="shared" si="26"/>
        <v>25000</v>
      </c>
      <c r="G33" s="53">
        <v>0</v>
      </c>
      <c r="H33" s="53">
        <v>0</v>
      </c>
      <c r="I33" s="53">
        <v>0</v>
      </c>
      <c r="J33" s="53">
        <v>0</v>
      </c>
      <c r="K33" s="53">
        <v>0</v>
      </c>
      <c r="L33" s="53">
        <v>0</v>
      </c>
      <c r="M33" s="70">
        <f t="shared" si="28"/>
        <v>25000</v>
      </c>
      <c r="N33" s="53">
        <f>ROUND((F33+G33)*12%,0)</f>
        <v>3000</v>
      </c>
      <c r="O33" s="76">
        <v>0</v>
      </c>
      <c r="P33" s="53"/>
      <c r="Q33" s="53">
        <v>0</v>
      </c>
      <c r="R33" s="53"/>
      <c r="S33" s="53">
        <v>153</v>
      </c>
      <c r="T33" s="53"/>
      <c r="U33" s="72"/>
      <c r="V33" s="53">
        <f>ROUND(+N33+O33+P33+Q33+R33+S33+T33+U33,0)</f>
        <v>3153</v>
      </c>
      <c r="W33" s="53">
        <f>+M33-V33</f>
        <v>21847</v>
      </c>
      <c r="X33" s="130"/>
      <c r="Y33" s="62"/>
      <c r="Z33" s="53"/>
      <c r="AA33" s="63"/>
      <c r="AB33" s="64"/>
      <c r="AC33" s="53">
        <v>0</v>
      </c>
      <c r="AD33" s="12"/>
      <c r="AE33" s="65"/>
      <c r="AF33" s="65"/>
      <c r="AG33" s="53">
        <v>0</v>
      </c>
      <c r="AH33" s="12"/>
      <c r="AI33" s="12"/>
      <c r="AJ33" s="12"/>
      <c r="AK33" s="12"/>
      <c r="AL33" s="12"/>
      <c r="AM33" s="12"/>
      <c r="AN33" s="12"/>
      <c r="AO33" s="66"/>
      <c r="AP33" s="12"/>
    </row>
    <row r="34" spans="1:42" s="47" customFormat="1" ht="36" customHeight="1" thickBot="1">
      <c r="A34" s="131"/>
      <c r="B34" s="132"/>
      <c r="C34" s="81">
        <f>ROUND(SUM(C25:C33),0)</f>
        <v>152320</v>
      </c>
      <c r="D34" s="81">
        <f t="shared" ref="D34:W34" si="30">ROUND(SUM(D25:D33),0)</f>
        <v>10200</v>
      </c>
      <c r="E34" s="81">
        <f t="shared" si="30"/>
        <v>3126</v>
      </c>
      <c r="F34" s="81">
        <f t="shared" si="30"/>
        <v>165646</v>
      </c>
      <c r="G34" s="81">
        <f t="shared" si="30"/>
        <v>107660</v>
      </c>
      <c r="H34" s="81">
        <f t="shared" si="30"/>
        <v>4750</v>
      </c>
      <c r="I34" s="81">
        <f t="shared" si="30"/>
        <v>1500</v>
      </c>
      <c r="J34" s="81">
        <f t="shared" si="30"/>
        <v>360</v>
      </c>
      <c r="K34" s="81">
        <f t="shared" si="30"/>
        <v>750</v>
      </c>
      <c r="L34" s="81">
        <f t="shared" si="30"/>
        <v>2610</v>
      </c>
      <c r="M34" s="81">
        <f>ROUND(SUM(M25:M33),0)+1</f>
        <v>283278</v>
      </c>
      <c r="N34" s="81">
        <f t="shared" si="30"/>
        <v>32796</v>
      </c>
      <c r="O34" s="81">
        <f t="shared" si="30"/>
        <v>0</v>
      </c>
      <c r="P34" s="81">
        <f>SUM(P24:P33)</f>
        <v>90</v>
      </c>
      <c r="Q34" s="81">
        <f t="shared" si="30"/>
        <v>0</v>
      </c>
      <c r="R34" s="81">
        <f t="shared" si="30"/>
        <v>0</v>
      </c>
      <c r="S34" s="81">
        <f t="shared" si="30"/>
        <v>1171</v>
      </c>
      <c r="T34" s="81">
        <f t="shared" si="30"/>
        <v>0</v>
      </c>
      <c r="U34" s="81">
        <f t="shared" si="30"/>
        <v>0</v>
      </c>
      <c r="V34" s="81">
        <f t="shared" si="30"/>
        <v>34057</v>
      </c>
      <c r="W34" s="81">
        <f t="shared" si="30"/>
        <v>249220</v>
      </c>
      <c r="X34" s="86"/>
      <c r="Y34" s="62"/>
      <c r="Z34" s="53"/>
      <c r="AA34" s="63">
        <f t="shared" si="0"/>
        <v>0</v>
      </c>
      <c r="AB34" s="88"/>
      <c r="AC34" s="81">
        <f t="shared" ref="AC34" si="31">ROUND(SUM(AC25:AC33),0)</f>
        <v>750</v>
      </c>
      <c r="AD34" s="12"/>
      <c r="AE34" s="89"/>
      <c r="AF34" s="65"/>
      <c r="AG34" s="81">
        <f t="shared" ref="AG34" si="32">ROUND(SUM(AG25:AG33),0)</f>
        <v>450</v>
      </c>
      <c r="AH34" s="12"/>
      <c r="AI34" s="12"/>
      <c r="AJ34" s="12"/>
      <c r="AK34" s="44"/>
      <c r="AL34" s="45"/>
      <c r="AM34" s="45"/>
      <c r="AN34" s="91"/>
      <c r="AO34" s="92"/>
      <c r="AP34" s="45"/>
    </row>
    <row r="35" spans="1:42" s="2" customFormat="1" ht="36" customHeight="1" thickTop="1">
      <c r="A35" s="48">
        <v>18</v>
      </c>
      <c r="B35" s="68" t="s">
        <v>52</v>
      </c>
      <c r="C35" s="53">
        <v>25000</v>
      </c>
      <c r="D35" s="78">
        <v>0</v>
      </c>
      <c r="E35" s="53">
        <v>0</v>
      </c>
      <c r="F35" s="69">
        <f t="shared" si="26"/>
        <v>25000</v>
      </c>
      <c r="G35" s="53">
        <v>0</v>
      </c>
      <c r="H35" s="53">
        <v>0</v>
      </c>
      <c r="I35" s="53">
        <v>0</v>
      </c>
      <c r="J35" s="53">
        <v>0</v>
      </c>
      <c r="K35" s="53">
        <v>0</v>
      </c>
      <c r="L35" s="53">
        <v>0</v>
      </c>
      <c r="M35" s="70">
        <f>+C35</f>
        <v>25000</v>
      </c>
      <c r="N35" s="53">
        <f>ROUND((F35+G35)*12%,0)</f>
        <v>3000</v>
      </c>
      <c r="O35" s="76">
        <v>0</v>
      </c>
      <c r="P35" s="53"/>
      <c r="Q35" s="53">
        <v>0</v>
      </c>
      <c r="R35" s="53">
        <v>0</v>
      </c>
      <c r="S35" s="53">
        <v>153</v>
      </c>
      <c r="T35" s="53"/>
      <c r="U35" s="72"/>
      <c r="V35" s="53">
        <f>ROUND(+N35+O35+P35+Q35+R35+S35+T35+U35,0)</f>
        <v>3153</v>
      </c>
      <c r="W35" s="53">
        <f>+M35-V35</f>
        <v>21847</v>
      </c>
      <c r="X35" s="133"/>
      <c r="Y35" s="62">
        <f t="shared" ref="Y35:Y37" si="33">+F35+G35</f>
        <v>25000</v>
      </c>
      <c r="Z35" s="53"/>
      <c r="AA35" s="63">
        <f t="shared" si="0"/>
        <v>3000</v>
      </c>
      <c r="AB35" s="64">
        <f t="shared" ref="AB35:AB37" si="34">+F35*164%</f>
        <v>41000</v>
      </c>
      <c r="AC35" s="53">
        <v>0</v>
      </c>
      <c r="AD35" s="12"/>
      <c r="AE35" s="65"/>
      <c r="AF35" s="65"/>
      <c r="AG35" s="53">
        <v>0</v>
      </c>
      <c r="AH35" s="12"/>
      <c r="AI35" s="12"/>
      <c r="AJ35" s="12"/>
      <c r="AK35" s="12"/>
      <c r="AL35" s="12"/>
      <c r="AM35" s="12"/>
      <c r="AN35" s="12"/>
      <c r="AO35" s="66"/>
      <c r="AP35" s="12"/>
    </row>
    <row r="36" spans="1:42" s="2" customFormat="1" ht="36" hidden="1" customHeight="1">
      <c r="A36" s="48">
        <v>20</v>
      </c>
      <c r="B36" s="134" t="s">
        <v>53</v>
      </c>
      <c r="C36" s="103">
        <v>0</v>
      </c>
      <c r="D36" s="78">
        <v>0</v>
      </c>
      <c r="E36" s="53">
        <v>0</v>
      </c>
      <c r="F36" s="69">
        <f t="shared" si="26"/>
        <v>0</v>
      </c>
      <c r="G36" s="53">
        <v>0</v>
      </c>
      <c r="H36" s="53">
        <v>0</v>
      </c>
      <c r="I36" s="53">
        <v>0</v>
      </c>
      <c r="J36" s="53">
        <v>0</v>
      </c>
      <c r="K36" s="53">
        <v>0</v>
      </c>
      <c r="L36" s="53">
        <v>0</v>
      </c>
      <c r="M36" s="70">
        <f>+C36</f>
        <v>0</v>
      </c>
      <c r="N36" s="53">
        <f>ROUND((F36+G36)*10%,0)</f>
        <v>0</v>
      </c>
      <c r="O36" s="76">
        <v>0</v>
      </c>
      <c r="P36" s="53">
        <v>0</v>
      </c>
      <c r="Q36" s="53">
        <v>0</v>
      </c>
      <c r="R36" s="53">
        <v>0</v>
      </c>
      <c r="S36" s="53">
        <v>0</v>
      </c>
      <c r="T36" s="53"/>
      <c r="U36" s="72">
        <v>0</v>
      </c>
      <c r="V36" s="53">
        <f>ROUND(+N36+O36+P36+Q36+R36+S36+T36+U36,0)</f>
        <v>0</v>
      </c>
      <c r="W36" s="53">
        <f>+M36-V36</f>
        <v>0</v>
      </c>
      <c r="X36" s="61"/>
      <c r="Y36" s="62">
        <f t="shared" si="33"/>
        <v>0</v>
      </c>
      <c r="Z36" s="53"/>
      <c r="AA36" s="63">
        <f t="shared" si="0"/>
        <v>0</v>
      </c>
      <c r="AB36" s="64">
        <f t="shared" si="34"/>
        <v>0</v>
      </c>
      <c r="AC36" s="53">
        <v>0</v>
      </c>
      <c r="AD36" s="12"/>
      <c r="AE36" s="65"/>
      <c r="AF36" s="65"/>
      <c r="AG36" s="53">
        <v>0</v>
      </c>
      <c r="AH36" s="12"/>
      <c r="AI36" s="12"/>
      <c r="AJ36" s="12"/>
      <c r="AK36" s="12"/>
      <c r="AL36" s="12"/>
      <c r="AM36" s="12"/>
      <c r="AN36" s="12"/>
      <c r="AO36" s="66"/>
      <c r="AP36" s="12"/>
    </row>
    <row r="37" spans="1:42" s="2" customFormat="1" ht="36" hidden="1" customHeight="1">
      <c r="A37" s="48">
        <v>21</v>
      </c>
      <c r="B37" s="134" t="s">
        <v>54</v>
      </c>
      <c r="C37" s="103">
        <v>0</v>
      </c>
      <c r="D37" s="78">
        <v>0</v>
      </c>
      <c r="E37" s="53">
        <v>0</v>
      </c>
      <c r="F37" s="69">
        <f t="shared" si="26"/>
        <v>0</v>
      </c>
      <c r="G37" s="53">
        <v>0</v>
      </c>
      <c r="H37" s="53">
        <v>0</v>
      </c>
      <c r="I37" s="53">
        <v>0</v>
      </c>
      <c r="J37" s="53">
        <v>0</v>
      </c>
      <c r="K37" s="53">
        <v>0</v>
      </c>
      <c r="L37" s="53">
        <v>0</v>
      </c>
      <c r="M37" s="70">
        <f t="shared" ref="M37" si="35">+C37</f>
        <v>0</v>
      </c>
      <c r="N37" s="53">
        <f>ROUND((F37+G37)*10%,0)</f>
        <v>0</v>
      </c>
      <c r="O37" s="76">
        <v>0</v>
      </c>
      <c r="P37" s="53">
        <v>0</v>
      </c>
      <c r="Q37" s="53">
        <v>0</v>
      </c>
      <c r="R37" s="53">
        <v>0</v>
      </c>
      <c r="S37" s="53">
        <v>0</v>
      </c>
      <c r="T37" s="53"/>
      <c r="U37" s="72">
        <v>0</v>
      </c>
      <c r="V37" s="53">
        <f>ROUND(+N37+O37+P37+Q37+R37+S37+T37+U37,0)</f>
        <v>0</v>
      </c>
      <c r="W37" s="53">
        <f>+M37-V37</f>
        <v>0</v>
      </c>
      <c r="X37" s="61"/>
      <c r="Y37" s="62">
        <f t="shared" si="33"/>
        <v>0</v>
      </c>
      <c r="Z37" s="53"/>
      <c r="AA37" s="63">
        <f t="shared" si="0"/>
        <v>0</v>
      </c>
      <c r="AB37" s="64">
        <f t="shared" si="34"/>
        <v>0</v>
      </c>
      <c r="AC37" s="53">
        <v>0</v>
      </c>
      <c r="AD37" s="12"/>
      <c r="AE37" s="65"/>
      <c r="AF37" s="65"/>
      <c r="AG37" s="53">
        <v>0</v>
      </c>
      <c r="AH37" s="12"/>
      <c r="AI37" s="12"/>
      <c r="AJ37" s="12"/>
      <c r="AK37" s="12"/>
      <c r="AL37" s="12"/>
      <c r="AM37" s="12"/>
      <c r="AN37" s="12"/>
      <c r="AO37" s="66"/>
      <c r="AP37" s="12"/>
    </row>
    <row r="38" spans="1:42" s="47" customFormat="1" ht="36" hidden="1" customHeight="1">
      <c r="A38" s="135"/>
      <c r="B38" s="136"/>
      <c r="C38" s="137"/>
      <c r="D38" s="138"/>
      <c r="E38" s="138"/>
      <c r="F38" s="139"/>
      <c r="G38" s="138"/>
      <c r="H38" s="138"/>
      <c r="I38" s="138"/>
      <c r="J38" s="138"/>
      <c r="K38" s="138"/>
      <c r="L38" s="138"/>
      <c r="M38" s="140"/>
      <c r="N38" s="78"/>
      <c r="O38" s="141"/>
      <c r="P38" s="78"/>
      <c r="Q38" s="53">
        <v>0</v>
      </c>
      <c r="R38" s="78"/>
      <c r="S38" s="78"/>
      <c r="T38" s="78"/>
      <c r="U38" s="78"/>
      <c r="V38" s="78"/>
      <c r="W38" s="78"/>
      <c r="X38" s="86"/>
      <c r="Y38" s="142"/>
      <c r="Z38" s="53"/>
      <c r="AA38" s="63">
        <f t="shared" si="0"/>
        <v>0</v>
      </c>
      <c r="AB38" s="88"/>
      <c r="AC38" s="138"/>
      <c r="AD38" s="12"/>
      <c r="AE38" s="89"/>
      <c r="AF38" s="65"/>
      <c r="AG38" s="138"/>
      <c r="AH38" s="12"/>
      <c r="AI38" s="12"/>
      <c r="AJ38" s="12"/>
      <c r="AK38" s="44"/>
      <c r="AL38" s="45"/>
      <c r="AM38" s="45"/>
      <c r="AN38" s="91"/>
      <c r="AO38" s="92"/>
      <c r="AP38" s="45"/>
    </row>
    <row r="39" spans="1:42" s="47" customFormat="1" ht="30.75" customHeight="1">
      <c r="A39" s="48"/>
      <c r="B39" s="143"/>
      <c r="C39" s="117" t="s">
        <v>55</v>
      </c>
      <c r="D39" s="95"/>
      <c r="E39" s="95"/>
      <c r="F39" s="127"/>
      <c r="G39" s="117"/>
      <c r="H39" s="106"/>
      <c r="I39" s="106"/>
      <c r="J39" s="106"/>
      <c r="K39" s="106"/>
      <c r="L39" s="106"/>
      <c r="M39" s="144"/>
      <c r="N39" s="106"/>
      <c r="O39" s="106"/>
      <c r="P39" s="106"/>
      <c r="Q39" s="53">
        <v>0</v>
      </c>
      <c r="R39" s="106"/>
      <c r="S39" s="106"/>
      <c r="T39" s="106"/>
      <c r="U39" s="145"/>
      <c r="V39" s="106"/>
      <c r="W39" s="146"/>
      <c r="X39" s="2"/>
      <c r="Y39" s="87"/>
      <c r="Z39" s="53"/>
      <c r="AA39" s="63">
        <f t="shared" si="0"/>
        <v>0</v>
      </c>
      <c r="AB39" s="88"/>
      <c r="AC39" s="106"/>
      <c r="AD39" s="12"/>
      <c r="AE39" s="89"/>
      <c r="AF39" s="65"/>
      <c r="AG39" s="106"/>
      <c r="AH39" s="12"/>
      <c r="AI39" s="12"/>
      <c r="AJ39" s="12"/>
      <c r="AK39" s="44"/>
      <c r="AL39" s="45"/>
      <c r="AM39" s="45"/>
      <c r="AN39" s="91"/>
      <c r="AO39" s="92"/>
      <c r="AP39" s="45"/>
    </row>
    <row r="40" spans="1:42" s="2" customFormat="1" ht="36" customHeight="1">
      <c r="A40" s="48">
        <f>+A35+1</f>
        <v>19</v>
      </c>
      <c r="B40" s="68" t="s">
        <v>56</v>
      </c>
      <c r="C40" s="53">
        <v>16350</v>
      </c>
      <c r="D40" s="78">
        <v>1950</v>
      </c>
      <c r="E40" s="53">
        <f t="shared" ref="E40:E42" si="36">(C40+D40)*5%</f>
        <v>915</v>
      </c>
      <c r="F40" s="69">
        <f t="shared" ref="F40:F42" si="37">+C40+D40+E40</f>
        <v>19215</v>
      </c>
      <c r="G40" s="53">
        <f t="shared" ref="G40:G41" si="38">+F40*164%</f>
        <v>31512.6</v>
      </c>
      <c r="H40" s="53">
        <v>0</v>
      </c>
      <c r="I40" s="53">
        <v>500</v>
      </c>
      <c r="J40" s="53">
        <v>120</v>
      </c>
      <c r="K40" s="53">
        <v>250</v>
      </c>
      <c r="L40" s="53">
        <f>300+60</f>
        <v>360</v>
      </c>
      <c r="M40" s="70">
        <f>+F40+G40+H40+I40+J40+K40+L40</f>
        <v>51957.599999999999</v>
      </c>
      <c r="N40" s="53">
        <f>ROUND((F40+G40)*12%,0)</f>
        <v>6087</v>
      </c>
      <c r="O40" s="76">
        <v>0</v>
      </c>
      <c r="P40" s="53">
        <v>15</v>
      </c>
      <c r="Q40" s="53">
        <v>0</v>
      </c>
      <c r="R40" s="53">
        <v>0</v>
      </c>
      <c r="S40" s="53">
        <v>103</v>
      </c>
      <c r="T40" s="53"/>
      <c r="U40" s="72">
        <v>0</v>
      </c>
      <c r="V40" s="53">
        <f>ROUND(+N40+O40+P40+Q40+R40+S40+T40+U40,0)</f>
        <v>6205</v>
      </c>
      <c r="W40" s="53">
        <f>ROUND(+M40-V40,0)</f>
        <v>45753</v>
      </c>
      <c r="X40" s="61"/>
      <c r="Y40" s="62">
        <f t="shared" ref="Y40:Y42" si="39">+F40+G40</f>
        <v>50727.6</v>
      </c>
      <c r="Z40" s="53">
        <f>+G40+F40</f>
        <v>50727.6</v>
      </c>
      <c r="AA40" s="63">
        <f t="shared" si="0"/>
        <v>6087.3119999999999</v>
      </c>
      <c r="AB40" s="64">
        <f t="shared" ref="AB40:AB42" si="40">+F40*164%</f>
        <v>31512.6</v>
      </c>
      <c r="AC40" s="53">
        <v>250</v>
      </c>
      <c r="AD40" s="12"/>
      <c r="AE40" s="65"/>
      <c r="AF40" s="65"/>
      <c r="AG40" s="53">
        <v>150</v>
      </c>
      <c r="AH40" s="12"/>
      <c r="AI40" s="12"/>
      <c r="AJ40" s="12"/>
      <c r="AK40" s="12"/>
      <c r="AL40" s="12"/>
      <c r="AM40" s="12"/>
      <c r="AN40" s="12"/>
      <c r="AO40" s="66"/>
      <c r="AP40" s="12"/>
    </row>
    <row r="41" spans="1:42" s="2" customFormat="1" ht="36" customHeight="1">
      <c r="A41" s="48">
        <f>+A40+1</f>
        <v>20</v>
      </c>
      <c r="B41" s="68" t="s">
        <v>57</v>
      </c>
      <c r="C41" s="53">
        <v>16340</v>
      </c>
      <c r="D41" s="78">
        <v>1950</v>
      </c>
      <c r="E41" s="53">
        <f t="shared" si="36"/>
        <v>914.5</v>
      </c>
      <c r="F41" s="69">
        <f t="shared" si="37"/>
        <v>19204.5</v>
      </c>
      <c r="G41" s="53">
        <f t="shared" si="38"/>
        <v>31495.379999999997</v>
      </c>
      <c r="H41" s="53">
        <v>0</v>
      </c>
      <c r="I41" s="53">
        <v>500</v>
      </c>
      <c r="J41" s="53">
        <v>120</v>
      </c>
      <c r="K41" s="53">
        <v>250</v>
      </c>
      <c r="L41" s="53">
        <f>20+300+60</f>
        <v>380</v>
      </c>
      <c r="M41" s="70">
        <f>+F41+G41+H41+I41+J41+K41+L41</f>
        <v>51949.88</v>
      </c>
      <c r="N41" s="53">
        <f>ROUND((F41+G41)*12%,0)</f>
        <v>6084</v>
      </c>
      <c r="O41" s="76">
        <v>0</v>
      </c>
      <c r="P41" s="53">
        <v>0</v>
      </c>
      <c r="Q41" s="53">
        <v>0</v>
      </c>
      <c r="R41" s="53">
        <v>0</v>
      </c>
      <c r="S41" s="53">
        <v>103</v>
      </c>
      <c r="T41" s="53"/>
      <c r="U41" s="72">
        <v>0</v>
      </c>
      <c r="V41" s="53">
        <f>ROUND(+N41+O41+P41+Q41+R41+S41+T41+U41,0)</f>
        <v>6187</v>
      </c>
      <c r="W41" s="53">
        <f>ROUND(+M41-V41,0)</f>
        <v>45763</v>
      </c>
      <c r="X41" s="61"/>
      <c r="Y41" s="62">
        <f t="shared" si="39"/>
        <v>50699.88</v>
      </c>
      <c r="Z41" s="53">
        <f>+G41+F41</f>
        <v>50699.88</v>
      </c>
      <c r="AA41" s="63">
        <f t="shared" si="0"/>
        <v>6083.9855999999991</v>
      </c>
      <c r="AB41" s="64">
        <f t="shared" si="40"/>
        <v>31495.379999999997</v>
      </c>
      <c r="AC41" s="53">
        <v>250</v>
      </c>
      <c r="AD41" s="12"/>
      <c r="AE41" s="65"/>
      <c r="AF41" s="65"/>
      <c r="AG41" s="53">
        <v>150</v>
      </c>
      <c r="AH41" s="12"/>
      <c r="AI41" s="12"/>
      <c r="AJ41" s="12"/>
      <c r="AK41" s="12"/>
      <c r="AL41" s="12"/>
      <c r="AM41" s="12"/>
      <c r="AN41" s="12"/>
      <c r="AO41" s="66"/>
      <c r="AP41" s="12"/>
    </row>
    <row r="42" spans="1:42" s="2" customFormat="1" ht="36" customHeight="1">
      <c r="A42" s="48">
        <f>+A41+1</f>
        <v>21</v>
      </c>
      <c r="B42" s="68" t="s">
        <v>58</v>
      </c>
      <c r="C42" s="53">
        <v>9570</v>
      </c>
      <c r="D42" s="78">
        <v>1900</v>
      </c>
      <c r="E42" s="53">
        <f t="shared" si="36"/>
        <v>573.5</v>
      </c>
      <c r="F42" s="69">
        <f t="shared" si="37"/>
        <v>12043.5</v>
      </c>
      <c r="G42" s="53">
        <f>+F42*164%+1</f>
        <v>19752.34</v>
      </c>
      <c r="H42" s="53">
        <v>0</v>
      </c>
      <c r="I42" s="53">
        <v>500</v>
      </c>
      <c r="J42" s="53">
        <v>120</v>
      </c>
      <c r="K42" s="53">
        <v>250</v>
      </c>
      <c r="L42" s="53">
        <f>300+60</f>
        <v>360</v>
      </c>
      <c r="M42" s="70">
        <f>+F42+G42+H42+I42+J42+K42+L42</f>
        <v>33025.839999999997</v>
      </c>
      <c r="N42" s="53">
        <f>ROUND((F42+G42)*12%,0)</f>
        <v>3816</v>
      </c>
      <c r="O42" s="76">
        <v>0</v>
      </c>
      <c r="P42" s="53">
        <v>15</v>
      </c>
      <c r="Q42" s="53">
        <v>0</v>
      </c>
      <c r="R42" s="53">
        <v>0</v>
      </c>
      <c r="S42" s="53">
        <v>103</v>
      </c>
      <c r="T42" s="53"/>
      <c r="U42" s="72">
        <v>0</v>
      </c>
      <c r="V42" s="53">
        <f>ROUND(+N42+O42+P42+Q42+R42+S42+T42+U42,0)</f>
        <v>3934</v>
      </c>
      <c r="W42" s="53">
        <f>ROUND(+M42-V42,0)</f>
        <v>29092</v>
      </c>
      <c r="X42" s="61"/>
      <c r="Y42" s="62">
        <f t="shared" si="39"/>
        <v>31795.84</v>
      </c>
      <c r="Z42" s="53">
        <f>+G42+F42</f>
        <v>31795.84</v>
      </c>
      <c r="AA42" s="63">
        <f t="shared" si="0"/>
        <v>3815.5007999999998</v>
      </c>
      <c r="AB42" s="64">
        <f t="shared" si="40"/>
        <v>19751.34</v>
      </c>
      <c r="AC42" s="53">
        <v>250</v>
      </c>
      <c r="AD42" s="12"/>
      <c r="AE42" s="65"/>
      <c r="AF42" s="65"/>
      <c r="AG42" s="53">
        <v>150</v>
      </c>
      <c r="AH42" s="12"/>
      <c r="AI42" s="12"/>
      <c r="AJ42" s="12"/>
      <c r="AK42" s="12"/>
      <c r="AL42" s="12"/>
      <c r="AM42" s="12"/>
      <c r="AN42" s="12"/>
      <c r="AO42" s="66"/>
      <c r="AP42" s="12"/>
    </row>
    <row r="43" spans="1:42" s="93" customFormat="1" ht="36" customHeight="1" thickBot="1">
      <c r="A43" s="94"/>
      <c r="B43" s="147"/>
      <c r="C43" s="148">
        <f>ROUND(SUM(C35:C42),0)</f>
        <v>67260</v>
      </c>
      <c r="D43" s="148">
        <f>ROUND(SUM(D35:D42),0)</f>
        <v>5800</v>
      </c>
      <c r="E43" s="148">
        <f>ROUND(SUM(E35:E42),0)</f>
        <v>2403</v>
      </c>
      <c r="F43" s="149">
        <f>ROUND(SUM(F35:F42),0)</f>
        <v>75463</v>
      </c>
      <c r="G43" s="148">
        <f>ROUND(SUM(G35:G42),0)-1</f>
        <v>82759</v>
      </c>
      <c r="H43" s="148">
        <f>ROUND(SUM(H35:H42),0)</f>
        <v>0</v>
      </c>
      <c r="I43" s="148">
        <f>ROUND(SUM(I35:I42),0)</f>
        <v>1500</v>
      </c>
      <c r="J43" s="148">
        <f>ROUND(SUM(J35:J42),0)</f>
        <v>360</v>
      </c>
      <c r="K43" s="150">
        <f>ROUND(SUM(K35:K42),0)</f>
        <v>750</v>
      </c>
      <c r="L43" s="148">
        <f>ROUND(SUM(L35:L42),0)</f>
        <v>1100</v>
      </c>
      <c r="M43" s="81">
        <f>+M35+M36+M37+M40+M41+M42+1</f>
        <v>161934.32</v>
      </c>
      <c r="N43" s="81">
        <f t="shared" ref="N43:V43" si="41">+N35+N36+N37+N40+N41+N42</f>
        <v>18987</v>
      </c>
      <c r="O43" s="81">
        <f t="shared" si="41"/>
        <v>0</v>
      </c>
      <c r="P43" s="81">
        <f>SUM(P35:P42)</f>
        <v>30</v>
      </c>
      <c r="Q43" s="81">
        <f t="shared" si="41"/>
        <v>0</v>
      </c>
      <c r="R43" s="81">
        <f t="shared" si="41"/>
        <v>0</v>
      </c>
      <c r="S43" s="81">
        <f t="shared" si="41"/>
        <v>462</v>
      </c>
      <c r="T43" s="81">
        <f t="shared" si="41"/>
        <v>0</v>
      </c>
      <c r="U43" s="81">
        <f t="shared" si="41"/>
        <v>0</v>
      </c>
      <c r="V43" s="81">
        <f t="shared" si="41"/>
        <v>19479</v>
      </c>
      <c r="W43" s="81">
        <f>+M43-V43</f>
        <v>142455.32</v>
      </c>
      <c r="X43" s="106"/>
      <c r="Y43" s="87"/>
      <c r="Z43" s="146"/>
      <c r="AA43" s="151">
        <f t="shared" si="0"/>
        <v>0</v>
      </c>
      <c r="AB43" s="152"/>
      <c r="AC43" s="53">
        <f>ROUND(SUM(AC35:AC42),0)</f>
        <v>750</v>
      </c>
      <c r="AD43" s="89"/>
      <c r="AE43" s="89"/>
      <c r="AF43" s="153"/>
      <c r="AG43" s="148">
        <f>ROUND(SUM(AG35:AG42),0)</f>
        <v>450</v>
      </c>
      <c r="AH43" s="89"/>
      <c r="AI43" s="89"/>
      <c r="AJ43" s="89"/>
      <c r="AK43" s="89"/>
      <c r="AL43" s="91"/>
      <c r="AM43" s="91"/>
      <c r="AN43" s="91"/>
      <c r="AO43" s="91"/>
      <c r="AP43" s="91"/>
    </row>
    <row r="44" spans="1:42" s="93" customFormat="1" ht="36" hidden="1" customHeight="1">
      <c r="A44" s="94"/>
      <c r="B44" s="106"/>
      <c r="C44" s="96"/>
      <c r="D44" s="96"/>
      <c r="E44" s="96"/>
      <c r="F44" s="97"/>
      <c r="G44" s="55"/>
      <c r="H44" s="96"/>
      <c r="I44" s="96"/>
      <c r="J44" s="96"/>
      <c r="K44" s="96"/>
      <c r="L44" s="96"/>
      <c r="M44" s="154"/>
      <c r="N44" s="96"/>
      <c r="O44" s="96"/>
      <c r="P44" s="96"/>
      <c r="Q44" s="96"/>
      <c r="R44" s="96"/>
      <c r="S44" s="96"/>
      <c r="T44" s="96"/>
      <c r="U44" s="99"/>
      <c r="V44" s="96"/>
      <c r="W44" s="100"/>
      <c r="X44" s="106"/>
      <c r="Y44" s="87"/>
      <c r="Z44" s="155"/>
      <c r="AA44" s="156"/>
      <c r="AB44" s="88"/>
      <c r="AC44" s="106"/>
      <c r="AD44" s="12"/>
      <c r="AE44" s="89"/>
      <c r="AF44" s="89"/>
      <c r="AG44" s="96"/>
      <c r="AH44" s="89"/>
      <c r="AI44" s="89"/>
      <c r="AJ44" s="89"/>
      <c r="AK44" s="89"/>
      <c r="AL44" s="91"/>
      <c r="AM44" s="91"/>
      <c r="AN44" s="91"/>
      <c r="AO44" s="91"/>
      <c r="AP44" s="91"/>
    </row>
    <row r="45" spans="1:42" s="165" customFormat="1" ht="36" customHeight="1" thickTop="1" thickBot="1">
      <c r="A45" s="157"/>
      <c r="B45" s="106" t="s">
        <v>59</v>
      </c>
      <c r="C45" s="158">
        <f t="shared" ref="C45:L45" si="42">+C14+C23+C34+C43</f>
        <v>455265</v>
      </c>
      <c r="D45" s="158">
        <f t="shared" si="42"/>
        <v>67200</v>
      </c>
      <c r="E45" s="158">
        <f>+E14+E23+E34+E43-2</f>
        <v>19873</v>
      </c>
      <c r="F45" s="159">
        <f>+F14+F23+F34+F43-3</f>
        <v>542338</v>
      </c>
      <c r="G45" s="158">
        <f>+G14+G23+G34+G43+2</f>
        <v>684439</v>
      </c>
      <c r="H45" s="158">
        <f>+H14+H23+H34+H43-1</f>
        <v>32306</v>
      </c>
      <c r="I45" s="158">
        <f t="shared" si="42"/>
        <v>7500</v>
      </c>
      <c r="J45" s="158">
        <f t="shared" si="42"/>
        <v>1800</v>
      </c>
      <c r="K45" s="158">
        <f t="shared" si="42"/>
        <v>4700</v>
      </c>
      <c r="L45" s="158">
        <f t="shared" si="42"/>
        <v>4585</v>
      </c>
      <c r="M45" s="160">
        <f>ROUND(+M14+M23+M34+M43+M44,0)-2</f>
        <v>1277671</v>
      </c>
      <c r="N45" s="158">
        <f>+N14+N23+N34+N43+N44</f>
        <v>147212</v>
      </c>
      <c r="O45" s="158">
        <f>+O14+O23+O34+O43</f>
        <v>44500</v>
      </c>
      <c r="P45" s="158">
        <f>+P14+P23+P34+P43</f>
        <v>570</v>
      </c>
      <c r="Q45" s="158">
        <f>+Q14+Q23+Q34+Q43</f>
        <v>0</v>
      </c>
      <c r="R45" s="158">
        <f>+R14+R23+R34+R43+R44</f>
        <v>0</v>
      </c>
      <c r="S45" s="158">
        <f>+S14+S23+S34+S43+S44</f>
        <v>3487</v>
      </c>
      <c r="T45" s="158">
        <f>+T14+T23+T34+T43+T44</f>
        <v>0</v>
      </c>
      <c r="U45" s="161">
        <f>+U14+U23+U34+U43+U44</f>
        <v>0</v>
      </c>
      <c r="V45" s="158">
        <f>+V14+V23+V34+V43+V44</f>
        <v>195769</v>
      </c>
      <c r="W45" s="158">
        <f>ROUND((+W14+W23+W34+W43+W44),0)</f>
        <v>1081902</v>
      </c>
      <c r="X45" s="101"/>
      <c r="Y45" s="162">
        <f>SUM(Y6:Y43)</f>
        <v>1196605.4200000002</v>
      </c>
      <c r="Z45" s="53">
        <f>+G45+F45</f>
        <v>1226777</v>
      </c>
      <c r="AA45" s="163">
        <f>SUM(AA6:AA44)</f>
        <v>143592.76488</v>
      </c>
      <c r="AB45" s="164"/>
      <c r="AC45" s="158">
        <f>+AC14+AC23+AC34+AC43</f>
        <v>5300</v>
      </c>
      <c r="AD45" s="12"/>
      <c r="AE45" s="12"/>
      <c r="AF45" s="12"/>
      <c r="AG45" s="158">
        <f>+AG14+AG23+AG34+AG43</f>
        <v>2825</v>
      </c>
      <c r="AH45" s="12"/>
      <c r="AI45" s="12"/>
      <c r="AJ45" s="12"/>
      <c r="AK45" s="12"/>
      <c r="AL45" s="12"/>
      <c r="AM45" s="12"/>
      <c r="AN45" s="12"/>
      <c r="AO45" s="12"/>
      <c r="AP45" s="12"/>
    </row>
    <row r="46" spans="1:42" ht="21" customHeight="1" thickTop="1">
      <c r="A46" s="166"/>
      <c r="B46" s="73"/>
      <c r="D46" s="167"/>
      <c r="E46" s="203">
        <f>+F45+G45</f>
        <v>1226777</v>
      </c>
      <c r="F46" s="203"/>
      <c r="G46" s="203"/>
      <c r="H46" s="167"/>
      <c r="I46" s="167"/>
      <c r="J46" s="167"/>
      <c r="K46" s="204">
        <f>+K45+L45</f>
        <v>9285</v>
      </c>
      <c r="L46" s="204"/>
      <c r="M46" s="73"/>
      <c r="N46" s="73"/>
      <c r="O46" s="73"/>
      <c r="P46" s="167"/>
      <c r="Q46" s="167"/>
      <c r="R46" s="167"/>
      <c r="S46" s="167"/>
      <c r="T46" s="167"/>
      <c r="U46" s="77"/>
      <c r="V46" s="167"/>
      <c r="W46" s="167"/>
      <c r="X46" s="167"/>
      <c r="AA46" s="63"/>
      <c r="AC46" s="12"/>
      <c r="AE46" s="12"/>
      <c r="AF46" s="12"/>
      <c r="AG46" s="12"/>
      <c r="AH46" s="12"/>
      <c r="AI46" s="12"/>
    </row>
    <row r="47" spans="1:42" s="2" customFormat="1">
      <c r="A47" s="157"/>
      <c r="B47" s="73"/>
      <c r="C47" s="73"/>
      <c r="D47" s="73"/>
      <c r="E47" s="48"/>
      <c r="F47" s="168"/>
      <c r="G47" s="48"/>
      <c r="H47" s="73"/>
      <c r="I47" s="73"/>
      <c r="J47" s="73"/>
      <c r="K47" s="48"/>
      <c r="L47" s="48"/>
      <c r="M47" s="73"/>
      <c r="N47" s="73"/>
      <c r="O47" s="73"/>
      <c r="P47" s="73"/>
      <c r="Q47" s="73"/>
      <c r="R47" s="73"/>
      <c r="S47" s="73"/>
      <c r="T47" s="73"/>
      <c r="U47" s="77"/>
      <c r="V47" s="73"/>
      <c r="W47" s="73"/>
      <c r="X47" s="73"/>
      <c r="Y47" s="9"/>
      <c r="AB47" s="169"/>
      <c r="AC47" s="12"/>
      <c r="AE47" s="12"/>
      <c r="AF47" s="12"/>
      <c r="AG47" s="12"/>
      <c r="AH47" s="12"/>
      <c r="AI47" s="12"/>
      <c r="AJ47" s="12"/>
      <c r="AK47" s="12"/>
      <c r="AL47" s="12"/>
      <c r="AM47" s="12"/>
      <c r="AN47" s="12"/>
      <c r="AO47" s="12"/>
      <c r="AP47" s="12"/>
    </row>
    <row r="48" spans="1:42" s="174" customFormat="1">
      <c r="A48" s="131">
        <v>22</v>
      </c>
      <c r="B48" s="170" t="s">
        <v>60</v>
      </c>
      <c r="C48" s="170">
        <v>30750</v>
      </c>
      <c r="D48" s="170">
        <v>7400</v>
      </c>
      <c r="E48" s="170">
        <f>(C48+D48)*5%</f>
        <v>1907.5</v>
      </c>
      <c r="F48" s="170">
        <f>+C48+D48+E48</f>
        <v>40057.5</v>
      </c>
      <c r="G48" s="103">
        <f>+F48*164%+2</f>
        <v>65696.3</v>
      </c>
      <c r="H48" s="170">
        <f>(C48+D48+E48)*20%</f>
        <v>8011.5</v>
      </c>
      <c r="I48" s="170">
        <v>500</v>
      </c>
      <c r="J48" s="170">
        <v>120</v>
      </c>
      <c r="K48" s="170">
        <v>0</v>
      </c>
      <c r="L48" s="170"/>
      <c r="M48" s="171">
        <f>SUM(F48:L48)+1</f>
        <v>114386.3</v>
      </c>
      <c r="N48" s="53">
        <f>ROUND((F48+G48)*12%,0)</f>
        <v>12690</v>
      </c>
      <c r="O48" s="171">
        <v>20000</v>
      </c>
      <c r="P48" s="171">
        <v>60</v>
      </c>
      <c r="Q48" s="171"/>
      <c r="R48" s="171"/>
      <c r="S48" s="171"/>
      <c r="T48" s="171"/>
      <c r="U48" s="171"/>
      <c r="V48" s="171">
        <f>SUM(N48:U48)</f>
        <v>32750</v>
      </c>
      <c r="W48" s="171">
        <f>+M48-V48</f>
        <v>81636.3</v>
      </c>
      <c r="X48" s="170"/>
      <c r="Y48" s="103">
        <f t="shared" ref="Y48:Z48" si="43">+F48+G48</f>
        <v>105753.8</v>
      </c>
      <c r="Z48" s="103">
        <f t="shared" si="43"/>
        <v>73707.8</v>
      </c>
      <c r="AA48" s="103">
        <f t="shared" ref="AA48" si="44">+Y48*12%</f>
        <v>12690.456</v>
      </c>
      <c r="AB48" s="172"/>
      <c r="AC48" s="173"/>
      <c r="AO48" s="173"/>
    </row>
    <row r="49" spans="1:41" s="12" customFormat="1" ht="36" customHeight="1">
      <c r="A49" s="65"/>
      <c r="B49" s="175"/>
      <c r="C49" s="65"/>
      <c r="D49" s="65"/>
      <c r="E49" s="65"/>
      <c r="F49" s="65"/>
      <c r="G49" s="65"/>
      <c r="H49" s="65"/>
      <c r="I49" s="65"/>
      <c r="J49" s="65"/>
      <c r="K49" s="65"/>
      <c r="L49" s="65"/>
      <c r="M49" s="176"/>
      <c r="N49" s="176"/>
      <c r="O49" s="177"/>
      <c r="P49" s="176"/>
      <c r="Q49" s="176"/>
      <c r="R49" s="176"/>
      <c r="S49" s="176"/>
      <c r="T49" s="176"/>
      <c r="U49" s="176"/>
      <c r="V49" s="176"/>
      <c r="W49" s="176"/>
      <c r="X49" s="42"/>
      <c r="Y49" s="65"/>
      <c r="Z49" s="65"/>
      <c r="AA49" s="65"/>
      <c r="AB49" s="64"/>
      <c r="AC49" s="65"/>
      <c r="AE49" s="65"/>
      <c r="AF49" s="65"/>
      <c r="AG49" s="65"/>
      <c r="AO49" s="66"/>
    </row>
    <row r="50" spans="1:41" s="12" customFormat="1" ht="36" customHeight="1">
      <c r="A50" s="178"/>
      <c r="B50" s="179"/>
      <c r="C50" s="176">
        <f t="shared" ref="C50:R50" si="45">+C7+C9+C10+C11+C13+C17+C18+C19+C21+C22+C25+C27+C28+C30+C31+C32+C33+C35+C40+C41+C42</f>
        <v>455265</v>
      </c>
      <c r="D50" s="176">
        <f t="shared" si="45"/>
        <v>67200</v>
      </c>
      <c r="E50" s="176">
        <f t="shared" si="45"/>
        <v>19873.25</v>
      </c>
      <c r="F50" s="176">
        <f t="shared" si="45"/>
        <v>542338.25</v>
      </c>
      <c r="G50" s="176">
        <f t="shared" si="45"/>
        <v>684438.72999999986</v>
      </c>
      <c r="H50" s="176">
        <f t="shared" si="45"/>
        <v>32306.399999999998</v>
      </c>
      <c r="I50" s="176">
        <f t="shared" si="45"/>
        <v>7500</v>
      </c>
      <c r="J50" s="176">
        <f t="shared" si="45"/>
        <v>1800</v>
      </c>
      <c r="K50" s="176">
        <f t="shared" si="45"/>
        <v>4700</v>
      </c>
      <c r="L50" s="176">
        <f t="shared" si="45"/>
        <v>4585</v>
      </c>
      <c r="M50" s="176">
        <f t="shared" si="45"/>
        <v>1277671.3800000001</v>
      </c>
      <c r="N50" s="176">
        <f t="shared" si="45"/>
        <v>147212</v>
      </c>
      <c r="O50" s="176">
        <f t="shared" si="45"/>
        <v>44500</v>
      </c>
      <c r="P50" s="176">
        <f t="shared" si="45"/>
        <v>570</v>
      </c>
      <c r="Q50" s="176">
        <f t="shared" si="45"/>
        <v>0</v>
      </c>
      <c r="R50" s="176">
        <f t="shared" si="45"/>
        <v>0</v>
      </c>
      <c r="S50" s="176">
        <f>+S7+S9+S10+S11+S13+S17+S18+S19+S21+S22+S25+S27+S28+S30+S31+S32+S33+S35+S40+S41+S42</f>
        <v>3487</v>
      </c>
      <c r="T50" s="176"/>
      <c r="U50" s="176"/>
      <c r="V50" s="176">
        <f>+V7+V9+V10+V11+V13+V17+V18+V19+V21+V22+V25+V27+V28+V30+V31+V32+V33+V35+V40+V41+V42</f>
        <v>195769</v>
      </c>
      <c r="W50" s="176">
        <f>+M50-V50</f>
        <v>1081902.3800000001</v>
      </c>
      <c r="X50" s="65"/>
      <c r="Y50" s="65"/>
      <c r="Z50" s="65"/>
      <c r="AA50" s="65"/>
      <c r="AB50" s="65"/>
      <c r="AC50" s="65"/>
      <c r="AE50" s="65"/>
      <c r="AF50" s="65"/>
      <c r="AG50" s="65"/>
      <c r="AI50" s="44"/>
      <c r="AK50" s="44"/>
      <c r="AO50" s="66"/>
    </row>
    <row r="51" spans="1:41" s="12" customFormat="1" ht="27" customHeight="1">
      <c r="A51" s="178"/>
      <c r="B51" s="126"/>
      <c r="C51" s="180"/>
      <c r="D51" s="176"/>
      <c r="E51" s="65"/>
      <c r="F51" s="65"/>
      <c r="G51" s="65"/>
      <c r="H51" s="65"/>
      <c r="I51" s="65"/>
      <c r="J51" s="65"/>
      <c r="K51" s="65"/>
      <c r="L51" s="65"/>
      <c r="M51" s="176"/>
      <c r="N51" s="176"/>
      <c r="O51" s="177"/>
      <c r="P51" s="176"/>
      <c r="Q51" s="176"/>
      <c r="R51" s="176"/>
      <c r="S51" s="176"/>
      <c r="T51" s="176"/>
      <c r="U51" s="176"/>
      <c r="V51" s="176"/>
      <c r="W51" s="176"/>
      <c r="X51" s="65">
        <f>+W7+W9+W10+W11+W13+W17+W18+W19+W21+W22+W25+W27+W28+W30+W31+W32+W33+W35+W40+W41+W42</f>
        <v>1081901.56</v>
      </c>
      <c r="Y51" s="65"/>
      <c r="Z51" s="65"/>
      <c r="AA51" s="65"/>
      <c r="AB51" s="65"/>
      <c r="AC51" s="65"/>
      <c r="AE51" s="65"/>
      <c r="AF51" s="65"/>
      <c r="AG51" s="65"/>
      <c r="AI51" s="44"/>
      <c r="AK51" s="44"/>
      <c r="AO51" s="66"/>
    </row>
    <row r="52" spans="1:41" s="188" customFormat="1" ht="36" customHeight="1">
      <c r="A52" s="181"/>
      <c r="B52" s="182"/>
      <c r="C52" s="183"/>
      <c r="D52" s="183"/>
      <c r="E52" s="183"/>
      <c r="F52" s="183"/>
      <c r="G52" s="183"/>
      <c r="H52" s="183"/>
      <c r="I52" s="184"/>
      <c r="J52" s="185"/>
      <c r="K52" s="186"/>
      <c r="L52" s="186"/>
      <c r="M52" s="185"/>
      <c r="N52" s="186"/>
      <c r="O52" s="186"/>
      <c r="P52" s="183"/>
      <c r="Q52" s="183"/>
      <c r="R52" s="187"/>
    </row>
    <row r="53" spans="1:41" s="12" customFormat="1" ht="36" customHeight="1">
      <c r="A53" s="189"/>
      <c r="B53" s="175"/>
      <c r="AB53" s="65"/>
      <c r="AC53" s="65"/>
      <c r="AE53" s="65"/>
      <c r="AF53" s="65"/>
      <c r="AG53" s="65"/>
      <c r="AK53" s="44"/>
    </row>
    <row r="54" spans="1:41" s="12" customFormat="1">
      <c r="A54" s="189"/>
      <c r="C54" s="65"/>
      <c r="G54" s="65"/>
      <c r="H54" s="65"/>
      <c r="I54" s="65"/>
      <c r="J54" s="65"/>
      <c r="M54" s="176"/>
      <c r="N54" s="190"/>
      <c r="O54" s="191"/>
      <c r="P54" s="190"/>
      <c r="Q54" s="190"/>
      <c r="R54" s="190"/>
      <c r="S54" s="190"/>
      <c r="T54" s="190"/>
      <c r="U54" s="190"/>
      <c r="V54" s="190"/>
      <c r="W54" s="190"/>
      <c r="X54" s="65"/>
      <c r="Y54" s="65"/>
      <c r="Z54" s="65"/>
      <c r="AA54" s="65"/>
      <c r="AB54" s="65"/>
      <c r="AC54" s="65"/>
      <c r="AE54" s="65"/>
      <c r="AF54" s="65"/>
      <c r="AG54" s="65"/>
      <c r="AI54" s="44"/>
      <c r="AK54" s="44"/>
      <c r="AO54" s="66"/>
    </row>
    <row r="55" spans="1:41" s="12" customFormat="1">
      <c r="A55" s="189"/>
      <c r="B55" s="175"/>
      <c r="C55" s="65"/>
      <c r="D55" s="176"/>
      <c r="E55" s="65"/>
      <c r="F55" s="65"/>
      <c r="G55" s="65"/>
      <c r="H55" s="65"/>
      <c r="I55" s="65"/>
      <c r="J55" s="65"/>
      <c r="K55" s="65"/>
      <c r="L55" s="65"/>
      <c r="M55" s="65"/>
      <c r="N55" s="65"/>
      <c r="O55" s="125"/>
      <c r="P55" s="65"/>
      <c r="Q55" s="65"/>
      <c r="R55" s="65"/>
      <c r="S55" s="65"/>
      <c r="T55" s="65"/>
      <c r="U55" s="65"/>
      <c r="V55" s="65"/>
      <c r="W55" s="65"/>
      <c r="X55" s="65"/>
      <c r="Y55" s="65"/>
      <c r="Z55" s="65"/>
      <c r="AA55" s="65"/>
    </row>
    <row r="56" spans="1:41" s="12" customFormat="1">
      <c r="A56" s="189"/>
      <c r="M56" s="190"/>
      <c r="N56" s="190"/>
      <c r="O56" s="190"/>
      <c r="P56" s="190"/>
      <c r="Q56" s="190"/>
      <c r="R56" s="190"/>
      <c r="S56" s="190"/>
      <c r="T56" s="190"/>
      <c r="U56" s="190"/>
      <c r="V56" s="190"/>
      <c r="W56" s="190"/>
    </row>
    <row r="57" spans="1:41" s="12" customFormat="1" ht="36" customHeight="1">
      <c r="A57" s="200"/>
      <c r="B57" s="175"/>
      <c r="C57" s="65"/>
      <c r="D57" s="65"/>
      <c r="E57" s="65"/>
      <c r="F57" s="65"/>
      <c r="G57" s="65"/>
      <c r="H57" s="65"/>
      <c r="I57" s="65"/>
      <c r="J57" s="65"/>
      <c r="K57" s="65"/>
      <c r="L57" s="65"/>
      <c r="M57" s="65"/>
      <c r="N57" s="65"/>
      <c r="O57" s="201"/>
      <c r="P57" s="65"/>
      <c r="Q57" s="65"/>
      <c r="R57" s="65"/>
      <c r="S57" s="65"/>
      <c r="T57" s="65"/>
      <c r="U57" s="65"/>
      <c r="V57" s="65"/>
      <c r="W57" s="65"/>
      <c r="X57" s="65"/>
      <c r="Y57" s="65"/>
      <c r="Z57" s="65"/>
      <c r="AA57" s="65"/>
      <c r="AB57" s="65"/>
      <c r="AC57" s="65"/>
      <c r="AE57" s="65"/>
      <c r="AF57" s="65"/>
      <c r="AG57" s="65"/>
      <c r="AO57" s="66"/>
    </row>
    <row r="58" spans="1:41" s="12" customFormat="1" ht="36" customHeight="1">
      <c r="A58" s="189"/>
      <c r="B58" s="175"/>
      <c r="C58" s="65"/>
      <c r="D58" s="176"/>
      <c r="E58" s="65"/>
      <c r="F58" s="65"/>
      <c r="G58" s="65"/>
      <c r="H58" s="65"/>
      <c r="I58" s="65"/>
      <c r="J58" s="65"/>
      <c r="K58" s="65"/>
      <c r="L58" s="65"/>
      <c r="M58" s="65"/>
      <c r="N58" s="65"/>
      <c r="O58" s="125"/>
      <c r="P58" s="65"/>
      <c r="Q58" s="65"/>
      <c r="R58" s="65"/>
      <c r="S58" s="65"/>
      <c r="T58" s="65"/>
      <c r="U58" s="65"/>
      <c r="V58" s="65"/>
      <c r="W58" s="65"/>
      <c r="X58" s="65"/>
      <c r="Y58" s="65"/>
      <c r="Z58" s="65"/>
      <c r="AA58" s="65"/>
      <c r="AB58" s="65"/>
      <c r="AC58" s="65"/>
      <c r="AE58" s="65"/>
      <c r="AF58" s="65"/>
      <c r="AG58" s="65"/>
      <c r="AO58" s="66"/>
    </row>
    <row r="59" spans="1:41" s="12" customFormat="1"/>
    <row r="60" spans="1:41" s="12" customFormat="1"/>
    <row r="61" spans="1:41" s="12" customFormat="1">
      <c r="A61" s="189"/>
      <c r="M61" s="190"/>
      <c r="N61" s="190"/>
      <c r="O61" s="190"/>
      <c r="P61" s="190"/>
      <c r="Q61" s="190"/>
      <c r="R61" s="190"/>
      <c r="S61" s="190"/>
      <c r="T61" s="190"/>
      <c r="U61" s="190"/>
      <c r="V61" s="190"/>
      <c r="W61" s="190"/>
    </row>
    <row r="62" spans="1:41" s="12" customFormat="1">
      <c r="A62" s="189"/>
    </row>
    <row r="63" spans="1:41" s="12" customFormat="1">
      <c r="A63" s="189"/>
    </row>
    <row r="64" spans="1:41" s="12" customFormat="1">
      <c r="A64" s="189"/>
    </row>
    <row r="65" spans="1:41" s="12" customFormat="1">
      <c r="A65" s="189"/>
    </row>
    <row r="66" spans="1:41" s="12" customFormat="1" ht="32.25" customHeight="1">
      <c r="A66" s="189"/>
    </row>
    <row r="67" spans="1:41" s="12" customFormat="1">
      <c r="A67" s="192"/>
      <c r="B67" s="66"/>
    </row>
    <row r="68" spans="1:41" s="12" customFormat="1" ht="36" customHeight="1">
      <c r="A68" s="189"/>
      <c r="B68" s="175"/>
      <c r="C68" s="65"/>
      <c r="D68" s="176"/>
      <c r="E68" s="65"/>
      <c r="F68" s="65"/>
      <c r="G68" s="65"/>
      <c r="H68" s="65"/>
      <c r="I68" s="65"/>
      <c r="J68" s="65"/>
      <c r="K68" s="65"/>
      <c r="L68" s="65"/>
      <c r="M68" s="65"/>
      <c r="N68" s="65"/>
      <c r="O68" s="125"/>
      <c r="P68" s="65"/>
      <c r="Q68" s="65"/>
      <c r="R68" s="65"/>
      <c r="S68" s="65"/>
      <c r="T68" s="65"/>
      <c r="U68" s="65"/>
      <c r="V68" s="65"/>
      <c r="W68" s="65"/>
      <c r="X68" s="65"/>
      <c r="Y68" s="65"/>
      <c r="Z68" s="65"/>
      <c r="AA68" s="65"/>
      <c r="AB68" s="65"/>
      <c r="AC68" s="65"/>
      <c r="AE68" s="65"/>
      <c r="AF68" s="65"/>
      <c r="AG68" s="65"/>
      <c r="AO68" s="66"/>
    </row>
    <row r="69" spans="1:41" s="12" customFormat="1">
      <c r="A69" s="189"/>
      <c r="F69" s="193"/>
    </row>
    <row r="70" spans="1:41" s="12" customFormat="1">
      <c r="A70" s="189"/>
      <c r="B70" s="175"/>
      <c r="C70" s="65"/>
      <c r="D70" s="176"/>
      <c r="E70" s="65"/>
      <c r="F70" s="194"/>
      <c r="G70" s="65"/>
      <c r="H70" s="65"/>
      <c r="I70" s="65"/>
      <c r="J70" s="65"/>
      <c r="K70" s="65"/>
      <c r="L70" s="65"/>
      <c r="M70" s="65"/>
      <c r="N70" s="65"/>
      <c r="O70" s="125"/>
      <c r="P70" s="65"/>
      <c r="Q70" s="65"/>
      <c r="R70" s="65"/>
      <c r="S70" s="65"/>
      <c r="T70" s="65"/>
      <c r="U70" s="65"/>
      <c r="V70" s="65"/>
      <c r="W70" s="65"/>
    </row>
    <row r="71" spans="1:41" s="12" customFormat="1">
      <c r="A71" s="189"/>
      <c r="F71" s="193"/>
    </row>
    <row r="72" spans="1:41" s="12" customFormat="1">
      <c r="A72" s="189"/>
      <c r="F72" s="193"/>
    </row>
    <row r="73" spans="1:41" s="12" customFormat="1">
      <c r="A73" s="189"/>
      <c r="F73" s="193"/>
    </row>
    <row r="74" spans="1:41" s="12" customFormat="1">
      <c r="A74" s="189"/>
      <c r="F74" s="193"/>
    </row>
    <row r="75" spans="1:41" s="12" customFormat="1">
      <c r="A75" s="189"/>
      <c r="F75" s="193"/>
    </row>
    <row r="76" spans="1:41" s="12" customFormat="1">
      <c r="A76" s="189"/>
      <c r="B76" s="175"/>
      <c r="C76" s="65"/>
      <c r="D76" s="176"/>
      <c r="E76" s="65"/>
      <c r="F76" s="194"/>
      <c r="G76" s="65"/>
      <c r="H76" s="65"/>
      <c r="I76" s="65"/>
      <c r="J76" s="65"/>
      <c r="K76" s="65"/>
      <c r="L76" s="65"/>
      <c r="M76" s="65"/>
    </row>
    <row r="77" spans="1:41" s="12" customFormat="1">
      <c r="F77" s="193"/>
      <c r="M77" s="195"/>
    </row>
    <row r="78" spans="1:41" s="12" customFormat="1">
      <c r="E78" s="65"/>
      <c r="F78" s="194"/>
      <c r="G78" s="65"/>
      <c r="H78" s="65"/>
      <c r="I78" s="65"/>
      <c r="J78" s="65"/>
      <c r="K78" s="65"/>
      <c r="L78" s="195"/>
      <c r="M78" s="65"/>
    </row>
    <row r="79" spans="1:41" s="12" customFormat="1">
      <c r="F79" s="193"/>
    </row>
    <row r="80" spans="1:41" s="12" customFormat="1">
      <c r="F80" s="193"/>
    </row>
    <row r="81" spans="1:6" s="12" customFormat="1">
      <c r="F81" s="193"/>
    </row>
    <row r="82" spans="1:6" s="12" customFormat="1">
      <c r="A82" s="189"/>
      <c r="F82" s="193"/>
    </row>
    <row r="83" spans="1:6" s="12" customFormat="1">
      <c r="A83" s="189"/>
      <c r="F83" s="193"/>
    </row>
    <row r="84" spans="1:6" s="12" customFormat="1">
      <c r="A84" s="189"/>
      <c r="F84" s="193"/>
    </row>
    <row r="85" spans="1:6" s="12" customFormat="1">
      <c r="A85" s="189"/>
      <c r="F85" s="193"/>
    </row>
    <row r="86" spans="1:6" s="12" customFormat="1">
      <c r="A86" s="189"/>
      <c r="F86" s="193"/>
    </row>
    <row r="87" spans="1:6" s="12" customFormat="1">
      <c r="A87" s="189"/>
      <c r="F87" s="193"/>
    </row>
    <row r="88" spans="1:6" s="12" customFormat="1">
      <c r="A88" s="189"/>
      <c r="F88" s="193"/>
    </row>
    <row r="89" spans="1:6" s="12" customFormat="1">
      <c r="A89" s="189"/>
      <c r="F89" s="193"/>
    </row>
    <row r="90" spans="1:6" s="12" customFormat="1">
      <c r="A90" s="189"/>
      <c r="F90" s="193"/>
    </row>
    <row r="91" spans="1:6" s="12" customFormat="1">
      <c r="A91" s="189"/>
      <c r="F91" s="193"/>
    </row>
    <row r="92" spans="1:6" s="12" customFormat="1">
      <c r="A92" s="189"/>
      <c r="F92" s="193"/>
    </row>
    <row r="93" spans="1:6" s="12" customFormat="1">
      <c r="A93" s="189"/>
      <c r="F93" s="193"/>
    </row>
    <row r="94" spans="1:6" s="12" customFormat="1">
      <c r="A94" s="189"/>
      <c r="F94" s="193"/>
    </row>
    <row r="95" spans="1:6" s="12" customFormat="1">
      <c r="A95" s="189"/>
      <c r="F95" s="193"/>
    </row>
    <row r="96" spans="1:6" s="12" customFormat="1">
      <c r="A96" s="189"/>
      <c r="F96" s="193"/>
    </row>
    <row r="97" spans="1:30" s="12" customFormat="1">
      <c r="A97" s="189"/>
      <c r="F97" s="193"/>
    </row>
    <row r="98" spans="1:30" s="12" customFormat="1">
      <c r="A98" s="189"/>
      <c r="F98" s="193"/>
    </row>
    <row r="99" spans="1:30" s="12" customFormat="1">
      <c r="A99" s="189"/>
      <c r="F99" s="193"/>
    </row>
    <row r="100" spans="1:30" s="12" customFormat="1">
      <c r="A100" s="189"/>
      <c r="F100" s="193"/>
    </row>
    <row r="101" spans="1:30" s="12" customFormat="1">
      <c r="A101" s="189"/>
      <c r="F101" s="193"/>
    </row>
    <row r="102" spans="1:30" s="12" customFormat="1">
      <c r="A102" s="189"/>
      <c r="F102" s="193"/>
    </row>
    <row r="103" spans="1:30" s="12" customFormat="1">
      <c r="A103" s="189"/>
      <c r="F103" s="193"/>
    </row>
    <row r="104" spans="1:30" s="12" customFormat="1">
      <c r="A104" s="189"/>
      <c r="F104" s="193"/>
    </row>
    <row r="105" spans="1:30" s="12" customFormat="1">
      <c r="A105" s="189"/>
      <c r="F105" s="193"/>
    </row>
    <row r="106" spans="1:30" s="12" customFormat="1">
      <c r="A106" s="189"/>
      <c r="F106" s="193"/>
    </row>
    <row r="107" spans="1:30" s="12" customFormat="1">
      <c r="A107" s="189"/>
      <c r="F107" s="193"/>
    </row>
    <row r="108" spans="1:30" s="12" customFormat="1">
      <c r="A108" s="189"/>
      <c r="F108" s="193"/>
    </row>
    <row r="109" spans="1:30" s="12" customFormat="1">
      <c r="A109" s="189"/>
      <c r="F109" s="193"/>
    </row>
    <row r="110" spans="1:30" s="12" customFormat="1">
      <c r="A110" s="189"/>
      <c r="F110" s="193"/>
    </row>
    <row r="111" spans="1:30" s="12" customFormat="1">
      <c r="A111" s="189"/>
      <c r="F111" s="193"/>
    </row>
    <row r="112" spans="1:30">
      <c r="C112" s="12"/>
      <c r="D112" s="12"/>
      <c r="E112" s="12"/>
      <c r="F112" s="193"/>
      <c r="G112" s="12"/>
      <c r="H112" s="12"/>
      <c r="I112" s="12"/>
      <c r="J112" s="12"/>
      <c r="K112" s="12"/>
      <c r="L112" s="12"/>
      <c r="M112" s="196"/>
      <c r="N112" s="12"/>
      <c r="O112" s="197"/>
      <c r="P112" s="12"/>
      <c r="Q112" s="12"/>
      <c r="R112" s="12"/>
      <c r="S112" s="12"/>
      <c r="T112" s="12"/>
      <c r="U112" s="198"/>
      <c r="V112" s="12"/>
      <c r="W112" s="12"/>
      <c r="X112" s="12"/>
      <c r="Y112" s="199"/>
      <c r="Z112" s="12"/>
      <c r="AA112" s="12"/>
      <c r="AB112" s="169"/>
      <c r="AC112" s="12"/>
      <c r="AD112" s="12"/>
    </row>
    <row r="113" spans="3:30">
      <c r="C113" s="12"/>
      <c r="D113" s="12"/>
      <c r="E113" s="12"/>
      <c r="F113" s="193"/>
      <c r="G113" s="12"/>
      <c r="H113" s="12"/>
      <c r="I113" s="12"/>
      <c r="J113" s="12"/>
      <c r="K113" s="12"/>
      <c r="L113" s="12"/>
      <c r="M113" s="196"/>
      <c r="N113" s="12"/>
      <c r="O113" s="197"/>
      <c r="P113" s="12"/>
      <c r="Q113" s="12"/>
      <c r="R113" s="12"/>
      <c r="S113" s="12"/>
      <c r="T113" s="12"/>
      <c r="U113" s="198"/>
      <c r="V113" s="12"/>
      <c r="W113" s="12"/>
      <c r="X113" s="12"/>
      <c r="Y113" s="199"/>
      <c r="Z113" s="12"/>
      <c r="AA113" s="12"/>
      <c r="AB113" s="169"/>
      <c r="AC113" s="12"/>
      <c r="AD113" s="12"/>
    </row>
  </sheetData>
  <mergeCells count="3">
    <mergeCell ref="A4:X4"/>
    <mergeCell ref="E46:G46"/>
    <mergeCell ref="K46:L46"/>
  </mergeCells>
  <dataValidations count="4">
    <dataValidation allowBlank="1" showErrorMessage="1" sqref="P52:Q52 WVK52:WVQ52 WLO52:WLU52 WBS52:WBY52 VRW52:VSC52 VIA52:VIG52 UYE52:UYK52 UOI52:UOO52 UEM52:UES52 TUQ52:TUW52 TKU52:TLA52 TAY52:TBE52 SRC52:SRI52 SHG52:SHM52 RXK52:RXQ52 RNO52:RNU52 RDS52:RDY52 QTW52:QUC52 QKA52:QKG52 QAE52:QAK52 PQI52:PQO52 PGM52:PGS52 OWQ52:OWW52 OMU52:ONA52 OCY52:ODE52 NTC52:NTI52 NJG52:NJM52 MZK52:MZQ52 MPO52:MPU52 MFS52:MFY52 LVW52:LWC52 LMA52:LMG52 LCE52:LCK52 KSI52:KSO52 KIM52:KIS52 JYQ52:JYW52 JOU52:JPA52 JEY52:JFE52 IVC52:IVI52 ILG52:ILM52 IBK52:IBQ52 HRO52:HRU52 HHS52:HHY52 GXW52:GYC52 GOA52:GOG52 GEE52:GEK52 FUI52:FUO52 FKM52:FKS52 FAQ52:FAW52 EQU52:ERA52 EGY52:EHE52 DXC52:DXI52 DNG52:DNM52 DDK52:DDQ52 CTO52:CTU52 CJS52:CJY52 BZW52:CAC52 BQA52:BQG52 BGE52:BGK52 AWI52:AWO52 AMM52:AMS52 ACQ52:ACW52 SU52:TA52 IY52:JE52 C52:I52 WVS52 WLW52 WCA52 VSE52 VII52 UYM52 UOQ52 UEU52 TUY52 TLC52 TBG52 SRK52 SHO52 RXS52 RNW52 REA52 QUE52 QKI52 QAM52 PQQ52 PGU52 OWY52 ONC52 ODG52 NTK52 NJO52 MZS52 MPW52 MGA52 LWE52 LMI52 LCM52 KSQ52 KIU52 JYY52 JPC52 JFG52 IVK52 ILO52 IBS52 HRW52 HIA52 GYE52 GOI52 GEM52 FUQ52 FKU52 FAY52 ERC52 EHG52 DXK52 DNO52 DDS52 CTW52 CKA52 CAE52 BQI52 BGM52 AWQ52 AMU52 ACY52 TC52 JG52 K52 WVX52:WVY52 WMB52:WMC52 WCF52:WCG52 VSJ52:VSK52 VIN52:VIO52 UYR52:UYS52 UOV52:UOW52 UEZ52:UFA52 TVD52:TVE52 TLH52:TLI52 TBL52:TBM52 SRP52:SRQ52 SHT52:SHU52 RXX52:RXY52 ROB52:ROC52 REF52:REG52 QUJ52:QUK52 QKN52:QKO52 QAR52:QAS52 PQV52:PQW52 PGZ52:PHA52 OXD52:OXE52 ONH52:ONI52 ODL52:ODM52 NTP52:NTQ52 NJT52:NJU52 MZX52:MZY52 MQB52:MQC52 MGF52:MGG52 LWJ52:LWK52 LMN52:LMO52 LCR52:LCS52 KSV52:KSW52 KIZ52:KJA52 JZD52:JZE52 JPH52:JPI52 JFL52:JFM52 IVP52:IVQ52 ILT52:ILU52 IBX52:IBY52 HSB52:HSC52 HIF52:HIG52 GYJ52:GYK52 GON52:GOO52 GER52:GES52 FUV52:FUW52 FKZ52:FLA52 FBD52:FBE52 ERH52:ERI52 EHL52:EHM52 DXP52:DXQ52 DNT52:DNU52 DDX52:DDY52 CUB52:CUC52 CKF52:CKG52 CAJ52:CAK52 BQN52:BQO52 BGR52:BGS52 AWV52:AWW52 AMZ52:ANA52 ADD52:ADE52 TH52:TI52 JL52:JM52"/>
    <dataValidation type="list" allowBlank="1" showErrorMessage="1" promptTitle="Minor Head of Challan" prompt="If Book Entry - Yes then Leave Blank.&#10;&#10;Enter 200 - For TDS payable by taxpayer&#10;&#10;Enter 400 - For TDS regular assessment (Raised by I. T, Dept.)&#10;" sqref="O52 WVW52 WMA52 WCE52 VSI52 VIM52 UYQ52 UOU52 UEY52 TVC52 TLG52 TBK52 SRO52 SHS52 RXW52 ROA52 REE52 QUI52 QKM52 QAQ52 PQU52 PGY52 OXC52 ONG52 ODK52 NTO52 NJS52 MZW52 MQA52 MGE52 LWI52 LMM52 LCQ52 KSU52 KIY52 JZC52 JPG52 JFK52 IVO52 ILS52 IBW52 HSA52 HIE52 GYI52 GOM52 GEQ52 FUU52 FKY52 FBC52 ERG52 EHK52 DXO52 DNS52 DDW52 CUA52 CKE52 CAI52 BQM52 BGQ52 AWU52 AMY52 ADC52 TG52 JK52">
      <formula1>"200,400"</formula1>
    </dataValidation>
    <dataValidation type="list" allowBlank="1" showErrorMessage="1" sqref="N52 WVV52 WLZ52 WCD52 VSH52 VIL52 UYP52 UOT52 UEX52 TVB52 TLF52 TBJ52 SRN52 SHR52 RXV52 RNZ52 RED52 QUH52 QKL52 QAP52 PQT52 PGX52 OXB52 ONF52 ODJ52 NTN52 NJR52 MZV52 MPZ52 MGD52 LWH52 LML52 LCP52 KST52 KIX52 JZB52 JPF52 JFJ52 IVN52 ILR52 IBV52 HRZ52 HID52 GYH52 GOL52 GEP52 FUT52 FKX52 FBB52 ERF52 EHJ52 DXN52 DNR52 DDV52 CTZ52 CKD52 CAH52 BQL52 BGP52 AWT52 AMX52 ADB52 TF52 JJ52">
      <formula1>"No,Yes"</formula1>
    </dataValidation>
    <dataValidation type="list" allowBlank="1" showErrorMessage="1" sqref="B52 WVJ52 WLN52 WBR52 VRV52 VHZ52 UYD52 UOH52 UEL52 TUP52 TKT52 TAX52 SRB52 SHF52 RXJ52 RNN52 RDR52 QTV52 QJZ52 QAD52 PQH52 PGL52 OWP52 OMT52 OCX52 NTB52 NJF52 MZJ52 MPN52 MFR52 LVV52 LLZ52 LCD52 KSH52 KIL52 JYP52 JOT52 JEX52 IVB52 ILF52 IBJ52 HRN52 HHR52 GXV52 GNZ52 GED52 FUH52 FKL52 FAP52 EQT52 EGX52 DXB52 DNF52 DDJ52 CTN52 CJR52 BZV52 BPZ52 BGD52 AWH52 AML52 ACP52 ST52 IX52">
      <formula1>LstSection</formula1>
    </dataValidation>
  </dataValidations>
  <pageMargins left="0.2" right="0.2" top="0.25" bottom="0.24" header="0.2" footer="0.19685039370078741"/>
  <pageSetup paperSize="9" scale="45" fitToHeight="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FEB 21</vt:lpstr>
      <vt:lpstr>Sheet1</vt:lpstr>
      <vt:lpstr>Sheet2</vt:lpstr>
      <vt:lpstr>Sheet3</vt:lpstr>
      <vt:lpstr>'FEB 21'!Print_Area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2021-03-03T05:39:45Z</dcterms:modified>
</cp:coreProperties>
</file>