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showHorizontalScroll="0" showVerticalScroll="0" xWindow="240" yWindow="105" windowWidth="14805" windowHeight="8010" activeTab="12"/>
  </bookViews>
  <sheets>
    <sheet name="MAR 24" sheetId="8" r:id="rId1"/>
    <sheet name="Reco" sheetId="6" r:id="rId2"/>
    <sheet name="NEW EPF SHEET" sheetId="28" r:id="rId3"/>
    <sheet name="BAdvice" sheetId="93" r:id="rId4"/>
    <sheet name="SALARY SLIPS" sheetId="15" r:id="rId5"/>
    <sheet name="slip II" sheetId="53" r:id="rId6"/>
    <sheet name="GI" sheetId="70" r:id="rId7"/>
    <sheet name="DATE OF INC" sheetId="116" r:id="rId8"/>
    <sheet name="Sheet5" sheetId="115" r:id="rId9"/>
    <sheet name="old tax" sheetId="99" r:id="rId10"/>
    <sheet name="12 A" sheetId="74" r:id="rId11"/>
    <sheet name="Sheet1" sheetId="117" r:id="rId12"/>
    <sheet name="Sheet2" sheetId="118" r:id="rId13"/>
  </sheets>
  <externalReferences>
    <externalReference r:id="rId14"/>
    <externalReference r:id="rId15"/>
  </externalReferences>
  <definedNames>
    <definedName name="_xlnm._FilterDatabase" localSheetId="3" hidden="1">BAdvice!$D$12:$D$25</definedName>
    <definedName name="_xlnm._FilterDatabase" localSheetId="0" hidden="1">'MAR 24'!$B$5:$B$42</definedName>
    <definedName name="_xlnm._FilterDatabase" localSheetId="2" hidden="1">'NEW EPF SHEET'!$D$2:$D$29</definedName>
    <definedName name="_xlnm._FilterDatabase" localSheetId="1" hidden="1">#REF!</definedName>
    <definedName name="_xlnm.Print_Area" localSheetId="3">BAdvice!$B$12:$D$25</definedName>
    <definedName name="_xlnm.Print_Area" localSheetId="0">'MAR 24'!$A$42:$Z$50</definedName>
    <definedName name="_xlnm.Print_Area" localSheetId="1">Reco!$B$5:$I$35</definedName>
    <definedName name="_xlnm.Print_Area" localSheetId="4">'SALARY SLIPS'!$B$818:$H$873</definedName>
  </definedNames>
  <calcPr calcId="124519"/>
</workbook>
</file>

<file path=xl/calcChain.xml><?xml version="1.0" encoding="utf-8"?>
<calcChain xmlns="http://schemas.openxmlformats.org/spreadsheetml/2006/main">
  <c r="D292" i="53"/>
  <c r="D268"/>
  <c r="E23" i="93"/>
  <c r="H297" i="53" l="1"/>
  <c r="D297"/>
  <c r="D307" s="1"/>
  <c r="H290"/>
  <c r="D290"/>
  <c r="H273"/>
  <c r="D273"/>
  <c r="H266"/>
  <c r="D266"/>
  <c r="H307"/>
  <c r="H283"/>
  <c r="D283"/>
  <c r="G23" i="93"/>
  <c r="E40"/>
  <c r="E39"/>
  <c r="E38"/>
  <c r="G24" i="28"/>
  <c r="I24" s="1"/>
  <c r="I23"/>
  <c r="G23"/>
  <c r="P50" i="8"/>
  <c r="Q50"/>
  <c r="R50"/>
  <c r="S50"/>
  <c r="T50"/>
  <c r="U50"/>
  <c r="V50"/>
  <c r="W50"/>
  <c r="X50"/>
  <c r="Y50"/>
  <c r="O50"/>
  <c r="Y48"/>
  <c r="X48"/>
  <c r="W48"/>
  <c r="V48"/>
  <c r="U48"/>
  <c r="T48"/>
  <c r="S48"/>
  <c r="R48"/>
  <c r="Q48"/>
  <c r="P48"/>
  <c r="O48"/>
  <c r="X42"/>
  <c r="X41"/>
  <c r="X40"/>
  <c r="N48"/>
  <c r="N42"/>
  <c r="N41"/>
  <c r="N40"/>
  <c r="N37"/>
  <c r="N36"/>
  <c r="N35"/>
  <c r="N33"/>
  <c r="N32"/>
  <c r="N31"/>
  <c r="N30"/>
  <c r="N28"/>
  <c r="N27"/>
  <c r="N25"/>
  <c r="N22"/>
  <c r="N21"/>
  <c r="N20"/>
  <c r="N19"/>
  <c r="N18"/>
  <c r="N17"/>
  <c r="N13"/>
  <c r="N11"/>
  <c r="N9"/>
  <c r="I21" i="6"/>
  <c r="I10"/>
  <c r="H48" i="8"/>
  <c r="G48"/>
  <c r="H34"/>
  <c r="G34"/>
  <c r="H23"/>
  <c r="G23"/>
  <c r="H14"/>
  <c r="G14"/>
  <c r="E50"/>
  <c r="E42"/>
  <c r="E41"/>
  <c r="E40"/>
  <c r="O42"/>
  <c r="G42"/>
  <c r="O41"/>
  <c r="G41"/>
  <c r="E308" i="53" l="1"/>
  <c r="E284"/>
  <c r="Y41" i="8"/>
  <c r="Y42"/>
  <c r="P14" l="1"/>
  <c r="AC28" l="1"/>
  <c r="L23" i="117"/>
  <c r="L21"/>
  <c r="K21"/>
  <c r="K19"/>
  <c r="K18"/>
  <c r="K17"/>
  <c r="K16"/>
  <c r="K15"/>
  <c r="K14"/>
  <c r="K12"/>
  <c r="K9"/>
  <c r="H14"/>
  <c r="F13"/>
  <c r="E13"/>
  <c r="G12"/>
  <c r="E12"/>
  <c r="C12"/>
  <c r="F12"/>
  <c r="E11"/>
  <c r="E10"/>
  <c r="E9"/>
  <c r="E8"/>
  <c r="F8"/>
  <c r="E7"/>
  <c r="AJ23" i="8"/>
  <c r="AJ8"/>
  <c r="D103" i="53" l="1"/>
  <c r="K53" i="8" l="1"/>
  <c r="AA19" i="28" l="1"/>
  <c r="C21" i="8" l="1"/>
  <c r="K28"/>
  <c r="K37"/>
  <c r="K35"/>
  <c r="K33"/>
  <c r="K32"/>
  <c r="K31"/>
  <c r="K30"/>
  <c r="K27"/>
  <c r="K25"/>
  <c r="K22"/>
  <c r="K19"/>
  <c r="K18"/>
  <c r="K17"/>
  <c r="K13"/>
  <c r="K11"/>
  <c r="K9"/>
  <c r="K7"/>
  <c r="K36"/>
  <c r="D254" i="53" l="1"/>
  <c r="D158"/>
  <c r="H104"/>
  <c r="H80"/>
  <c r="D79"/>
  <c r="H415" i="15"/>
  <c r="G7" i="8" l="1"/>
  <c r="A9"/>
  <c r="G9"/>
  <c r="U9"/>
  <c r="G10"/>
  <c r="N10" s="1"/>
  <c r="Y10" s="1"/>
  <c r="X10"/>
  <c r="G11"/>
  <c r="A13"/>
  <c r="G13"/>
  <c r="C14"/>
  <c r="F14"/>
  <c r="J14"/>
  <c r="L14"/>
  <c r="M14"/>
  <c r="Q14"/>
  <c r="R14"/>
  <c r="S14"/>
  <c r="U14"/>
  <c r="V14"/>
  <c r="A17"/>
  <c r="A18" s="1"/>
  <c r="A19" s="1"/>
  <c r="A21" s="1"/>
  <c r="A22" s="1"/>
  <c r="A25" s="1"/>
  <c r="G17"/>
  <c r="G18"/>
  <c r="G19"/>
  <c r="G20"/>
  <c r="G21"/>
  <c r="G22"/>
  <c r="F23"/>
  <c r="J23"/>
  <c r="L23"/>
  <c r="M23"/>
  <c r="P23"/>
  <c r="Q23"/>
  <c r="R23"/>
  <c r="S23"/>
  <c r="T23"/>
  <c r="U23"/>
  <c r="V23"/>
  <c r="G25"/>
  <c r="H25" s="1"/>
  <c r="G26"/>
  <c r="X26"/>
  <c r="H38" i="28"/>
  <c r="H13" i="8" l="1"/>
  <c r="O13" s="1"/>
  <c r="X13" s="1"/>
  <c r="H7"/>
  <c r="N7" s="1"/>
  <c r="E13" i="28" s="1"/>
  <c r="H17" i="8"/>
  <c r="E17" s="1"/>
  <c r="F10" i="28" s="1"/>
  <c r="H22" i="8"/>
  <c r="O22" s="1"/>
  <c r="H18"/>
  <c r="E18" s="1"/>
  <c r="F14" i="28" s="1"/>
  <c r="H11" i="8"/>
  <c r="H9"/>
  <c r="E11" i="28" s="1"/>
  <c r="H20" i="8"/>
  <c r="E20" s="1"/>
  <c r="H19"/>
  <c r="E19" s="1"/>
  <c r="F3" i="28" s="1"/>
  <c r="E25" i="8"/>
  <c r="F4" i="28" s="1"/>
  <c r="O25" i="8"/>
  <c r="I25"/>
  <c r="E4" i="28" s="1"/>
  <c r="E21" i="8"/>
  <c r="K14"/>
  <c r="C23"/>
  <c r="K23"/>
  <c r="E13"/>
  <c r="F8" i="28" s="1"/>
  <c r="O21" i="8"/>
  <c r="X21" s="1"/>
  <c r="I22"/>
  <c r="I19"/>
  <c r="I13"/>
  <c r="I14" s="1"/>
  <c r="E11"/>
  <c r="F5" i="28" s="1"/>
  <c r="O20" i="8"/>
  <c r="X20" s="1"/>
  <c r="O19" l="1"/>
  <c r="X19" s="1"/>
  <c r="O11"/>
  <c r="X11" s="1"/>
  <c r="E22"/>
  <c r="F7" i="28" s="1"/>
  <c r="E14"/>
  <c r="O18" i="8"/>
  <c r="X18" s="1"/>
  <c r="E9"/>
  <c r="F11" i="28" s="1"/>
  <c r="O17" i="8"/>
  <c r="Y20"/>
  <c r="E10" i="28"/>
  <c r="O9" i="8"/>
  <c r="X9" s="1"/>
  <c r="Y9" s="1"/>
  <c r="X22"/>
  <c r="E3" i="28"/>
  <c r="O7" i="8"/>
  <c r="X7" s="1"/>
  <c r="Y7" s="1"/>
  <c r="E7"/>
  <c r="F13" i="28" s="1"/>
  <c r="E5"/>
  <c r="Y11" i="8"/>
  <c r="X25"/>
  <c r="E8" i="28"/>
  <c r="I23" i="8"/>
  <c r="Y21"/>
  <c r="Y19" l="1"/>
  <c r="O23"/>
  <c r="Y22"/>
  <c r="N14"/>
  <c r="Y18"/>
  <c r="Y13"/>
  <c r="X17"/>
  <c r="X23" s="1"/>
  <c r="E7" i="28"/>
  <c r="Y25" i="8"/>
  <c r="O14"/>
  <c r="N23"/>
  <c r="Y17" l="1"/>
  <c r="Y23" s="1"/>
  <c r="X14"/>
  <c r="E30" i="6"/>
  <c r="Y14" i="8" l="1"/>
  <c r="G40"/>
  <c r="O40" l="1"/>
  <c r="I53" l="1"/>
  <c r="C48" l="1"/>
  <c r="C34"/>
  <c r="D249" i="53"/>
  <c r="D251" s="1"/>
  <c r="D153"/>
  <c r="D155" s="1"/>
  <c r="B30" i="93" l="1"/>
  <c r="B26"/>
  <c r="H26" i="28"/>
  <c r="F12" l="1"/>
  <c r="G12" s="1"/>
  <c r="I12" s="1"/>
  <c r="D108" i="53"/>
  <c r="D84"/>
  <c r="G37" i="8" l="1"/>
  <c r="H37" s="1"/>
  <c r="G36"/>
  <c r="H36" s="1"/>
  <c r="G35"/>
  <c r="H35" s="1"/>
  <c r="G33"/>
  <c r="H33" s="1"/>
  <c r="G32"/>
  <c r="H32" s="1"/>
  <c r="G31"/>
  <c r="H31" s="1"/>
  <c r="G30"/>
  <c r="H30" s="1"/>
  <c r="G28"/>
  <c r="H28" s="1"/>
  <c r="G27"/>
  <c r="H27" s="1"/>
  <c r="J13" i="28"/>
  <c r="J14" s="1"/>
  <c r="J15" s="1"/>
  <c r="J16" s="1"/>
  <c r="J17" s="1"/>
  <c r="G19"/>
  <c r="I19" s="1"/>
  <c r="G18"/>
  <c r="I18" s="1"/>
  <c r="G17"/>
  <c r="I17" s="1"/>
  <c r="G16"/>
  <c r="I16" s="1"/>
  <c r="O27" i="8" l="1"/>
  <c r="O32"/>
  <c r="H79" i="53" s="1"/>
  <c r="O37" i="8"/>
  <c r="X37" s="1"/>
  <c r="O31"/>
  <c r="X31" s="1"/>
  <c r="E35"/>
  <c r="F15" i="28" s="1"/>
  <c r="E33" i="8"/>
  <c r="H549" i="15" l="1"/>
  <c r="G15" i="28"/>
  <c r="I15" s="1"/>
  <c r="G5"/>
  <c r="I5" s="1"/>
  <c r="G8"/>
  <c r="I8" s="1"/>
  <c r="E17"/>
  <c r="E31" i="8"/>
  <c r="E21" i="28"/>
  <c r="E37" i="8"/>
  <c r="F21" i="28" s="1"/>
  <c r="E6"/>
  <c r="E27" i="8"/>
  <c r="F6" i="28" s="1"/>
  <c r="E19"/>
  <c r="E15"/>
  <c r="O33" i="8"/>
  <c r="O35"/>
  <c r="E9" i="28"/>
  <c r="E28" i="8"/>
  <c r="F9" i="28" s="1"/>
  <c r="O30" i="8"/>
  <c r="E30"/>
  <c r="O36"/>
  <c r="X36" s="1"/>
  <c r="E36"/>
  <c r="F20" i="28" s="1"/>
  <c r="E18"/>
  <c r="E32" i="8"/>
  <c r="O28"/>
  <c r="E16" i="28"/>
  <c r="E20"/>
  <c r="O34" i="8" l="1"/>
  <c r="X33"/>
  <c r="H103" i="53"/>
  <c r="H113" s="1"/>
  <c r="Y31" i="8"/>
  <c r="G4" i="28"/>
  <c r="I4" s="1"/>
  <c r="G7"/>
  <c r="I7" s="1"/>
  <c r="G20"/>
  <c r="I20" s="1"/>
  <c r="G6"/>
  <c r="I6" s="1"/>
  <c r="G10"/>
  <c r="I10" s="1"/>
  <c r="G11"/>
  <c r="I11" s="1"/>
  <c r="G9"/>
  <c r="I9" s="1"/>
  <c r="G21"/>
  <c r="I21" s="1"/>
  <c r="G14"/>
  <c r="I14" s="1"/>
  <c r="Y33" i="8"/>
  <c r="G3" i="28"/>
  <c r="X35" i="8"/>
  <c r="D105" i="53"/>
  <c r="D113" s="1"/>
  <c r="H89"/>
  <c r="P34" i="8"/>
  <c r="E114" i="53" l="1"/>
  <c r="I3" i="28"/>
  <c r="H253" i="53" l="1"/>
  <c r="D60"/>
  <c r="D63"/>
  <c r="D62"/>
  <c r="D61"/>
  <c r="D56"/>
  <c r="Q23" i="74" l="1"/>
  <c r="M42"/>
  <c r="Q4" i="99" l="1"/>
  <c r="P4"/>
  <c r="O4"/>
  <c r="I4"/>
  <c r="L4" s="1"/>
  <c r="Q3"/>
  <c r="P3"/>
  <c r="O3"/>
  <c r="L3"/>
  <c r="I3"/>
  <c r="O2"/>
  <c r="P2" s="1"/>
  <c r="Q2" s="1"/>
  <c r="L2"/>
  <c r="I2"/>
  <c r="B37" i="93" l="1"/>
  <c r="J10" i="28" l="1"/>
  <c r="J11" s="1"/>
  <c r="J18" s="1"/>
  <c r="J19" s="1"/>
  <c r="J4"/>
  <c r="J5" s="1"/>
  <c r="J7" s="1"/>
  <c r="J8" s="1"/>
  <c r="H5" i="53" l="1"/>
  <c r="H35" i="15"/>
  <c r="D32" i="93"/>
  <c r="B16"/>
  <c r="B17" s="1"/>
  <c r="B18" s="1"/>
  <c r="B19" s="1"/>
  <c r="B20" s="1"/>
  <c r="B21" s="1"/>
  <c r="B22" s="1"/>
  <c r="B23" s="1"/>
  <c r="B14"/>
  <c r="H170" i="53" l="1"/>
  <c r="H146"/>
  <c r="H122"/>
  <c r="H96"/>
  <c r="H72"/>
  <c r="H49"/>
  <c r="H27"/>
  <c r="H194" s="1"/>
  <c r="H218" s="1"/>
  <c r="H242" s="1"/>
  <c r="H250" l="1"/>
  <c r="D242"/>
  <c r="D225" l="1"/>
  <c r="D235" s="1"/>
  <c r="D218"/>
  <c r="D201"/>
  <c r="D211" s="1"/>
  <c r="D194"/>
  <c r="D177"/>
  <c r="D187" s="1"/>
  <c r="D170"/>
  <c r="D146"/>
  <c r="H35"/>
  <c r="H13"/>
  <c r="D34" l="1"/>
  <c r="D40"/>
  <c r="D39"/>
  <c r="D38"/>
  <c r="D16"/>
  <c r="D18"/>
  <c r="D17"/>
  <c r="G53" i="8"/>
  <c r="H29" i="28"/>
  <c r="D22"/>
  <c r="M48" i="8"/>
  <c r="L48"/>
  <c r="K48"/>
  <c r="J48"/>
  <c r="I48"/>
  <c r="F48"/>
  <c r="L34"/>
  <c r="K34"/>
  <c r="J34"/>
  <c r="F34"/>
  <c r="H53" l="1"/>
  <c r="N53" s="1"/>
  <c r="E27" i="28" s="1"/>
  <c r="L50" i="8"/>
  <c r="K50"/>
  <c r="J50"/>
  <c r="C50"/>
  <c r="D36" i="53"/>
  <c r="F27" i="28" l="1"/>
  <c r="G27" s="1"/>
  <c r="O53" i="8"/>
  <c r="X53" s="1"/>
  <c r="Y53" s="1"/>
  <c r="H225" i="53"/>
  <c r="H235" s="1"/>
  <c r="E236" s="1"/>
  <c r="H201"/>
  <c r="H211" s="1"/>
  <c r="E212" s="1"/>
  <c r="U26" i="28" l="1"/>
  <c r="T29" s="1"/>
  <c r="M26"/>
  <c r="I27"/>
  <c r="E22"/>
  <c r="F22" s="1"/>
  <c r="G22" s="1"/>
  <c r="I22" s="1"/>
  <c r="Y40" i="8"/>
  <c r="M34"/>
  <c r="M50" s="1"/>
  <c r="I34"/>
  <c r="E32" i="93" l="1"/>
  <c r="X27" i="8"/>
  <c r="I50"/>
  <c r="E15" i="6" s="1"/>
  <c r="Y27" i="8" l="1"/>
  <c r="H177" i="53"/>
  <c r="H187" s="1"/>
  <c r="E188" s="1"/>
  <c r="D20"/>
  <c r="D12"/>
  <c r="V34" i="8"/>
  <c r="S34"/>
  <c r="R34"/>
  <c r="Q34"/>
  <c r="D50"/>
  <c r="G44" l="1"/>
  <c r="Y37" l="1"/>
  <c r="H44"/>
  <c r="N44" s="1"/>
  <c r="H249" i="53" l="1"/>
  <c r="H259" s="1"/>
  <c r="X30" i="8"/>
  <c r="D81" i="53"/>
  <c r="D89" s="1"/>
  <c r="E90" s="1"/>
  <c r="X32" i="8"/>
  <c r="Y32" s="1"/>
  <c r="D58" i="53"/>
  <c r="H153"/>
  <c r="H163" s="1"/>
  <c r="D163"/>
  <c r="G13" i="28" l="1"/>
  <c r="G26" s="1"/>
  <c r="F26"/>
  <c r="E13" i="93"/>
  <c r="Y30" i="8"/>
  <c r="Y35"/>
  <c r="D259" i="53"/>
  <c r="E260" s="1"/>
  <c r="Y36" i="8"/>
  <c r="H56" i="53"/>
  <c r="E164"/>
  <c r="E34" i="93"/>
  <c r="H34" i="53"/>
  <c r="I13" i="28" l="1"/>
  <c r="G29"/>
  <c r="T13" l="1"/>
  <c r="I26"/>
  <c r="I29" s="1"/>
  <c r="T12" s="1"/>
  <c r="H34" l="1"/>
  <c r="E696" i="15"/>
  <c r="E163"/>
  <c r="AE29" i="74" l="1"/>
  <c r="D28" i="70" l="1"/>
  <c r="Y15" i="28" l="1"/>
  <c r="X29" i="8"/>
  <c r="J42" i="74" l="1"/>
  <c r="X23"/>
  <c r="U23"/>
  <c r="A30" i="8" l="1"/>
  <c r="U28"/>
  <c r="U34" l="1"/>
  <c r="X28"/>
  <c r="Y28" l="1"/>
  <c r="Y34" s="1"/>
  <c r="X34"/>
  <c r="E12" i="28"/>
  <c r="E20" i="93" l="1"/>
  <c r="F140" i="53"/>
  <c r="A31" i="8"/>
  <c r="A32" s="1"/>
  <c r="A33" s="1"/>
  <c r="D66" i="53" l="1"/>
  <c r="H66"/>
  <c r="D44"/>
  <c r="H44"/>
  <c r="E37" i="93" l="1"/>
  <c r="E45" i="53"/>
  <c r="E67"/>
  <c r="F50" i="8" l="1"/>
  <c r="E18" i="93" l="1"/>
  <c r="E214" i="15"/>
  <c r="H379" l="1"/>
  <c r="E15" i="93"/>
  <c r="E25"/>
  <c r="E17" l="1"/>
  <c r="E16"/>
  <c r="E14"/>
  <c r="E35" l="1"/>
  <c r="H12" i="53"/>
  <c r="H22" s="1"/>
  <c r="D14"/>
  <c r="D22" s="1"/>
  <c r="E23" l="1"/>
  <c r="E753" i="15"/>
  <c r="H745" l="1"/>
  <c r="E29" i="93"/>
  <c r="E30"/>
  <c r="E26" l="1"/>
  <c r="E36" l="1"/>
  <c r="E669" i="15" l="1"/>
  <c r="E135"/>
  <c r="E445"/>
  <c r="E865"/>
  <c r="E220"/>
  <c r="E416"/>
  <c r="E780"/>
  <c r="E557"/>
  <c r="E529"/>
  <c r="E332"/>
  <c r="E20"/>
  <c r="E306"/>
  <c r="E361"/>
  <c r="E50"/>
  <c r="E387"/>
  <c r="E19" i="6" l="1"/>
  <c r="H156" i="15"/>
  <c r="H50" i="8" l="1"/>
  <c r="E14" i="6" s="1"/>
  <c r="G50" i="8"/>
  <c r="E19" i="93"/>
  <c r="T33" i="28"/>
  <c r="V12"/>
  <c r="V16" s="1"/>
  <c r="Q26" i="74" s="1"/>
  <c r="X26" s="1"/>
  <c r="A9" i="28"/>
  <c r="A10" s="1"/>
  <c r="A11" s="1"/>
  <c r="A12" s="1"/>
  <c r="A13" s="1"/>
  <c r="A3"/>
  <c r="A4" s="1"/>
  <c r="A5" s="1"/>
  <c r="A6" s="1"/>
  <c r="A7" s="1"/>
  <c r="A8" s="1"/>
  <c r="H863" i="15"/>
  <c r="E26" i="28" l="1"/>
  <c r="N34" i="8"/>
  <c r="F29" i="28"/>
  <c r="F51" i="8"/>
  <c r="G54" s="1"/>
  <c r="N50"/>
  <c r="E25" i="6"/>
  <c r="F35" i="28"/>
  <c r="H35"/>
  <c r="E439" i="15" l="1"/>
  <c r="E410"/>
  <c r="E158"/>
  <c r="H134"/>
  <c r="E44"/>
  <c r="E243"/>
  <c r="H163"/>
  <c r="H77"/>
  <c r="H858"/>
  <c r="H694"/>
  <c r="D850"/>
  <c r="H5"/>
  <c r="H63" s="1"/>
  <c r="H91" s="1"/>
  <c r="H120" s="1"/>
  <c r="H149" s="1"/>
  <c r="D852"/>
  <c r="E857"/>
  <c r="E858"/>
  <c r="H859"/>
  <c r="E860"/>
  <c r="H860"/>
  <c r="E861"/>
  <c r="E862"/>
  <c r="H862"/>
  <c r="E863"/>
  <c r="E864"/>
  <c r="H864"/>
  <c r="H689"/>
  <c r="E689"/>
  <c r="E688"/>
  <c r="E76"/>
  <c r="H831"/>
  <c r="H247"/>
  <c r="D793"/>
  <c r="D795"/>
  <c r="D38"/>
  <c r="D66" s="1"/>
  <c r="D94" s="1"/>
  <c r="D123" s="1"/>
  <c r="D152" s="1"/>
  <c r="D180" s="1"/>
  <c r="D208" s="1"/>
  <c r="D236" s="1"/>
  <c r="D266" s="1"/>
  <c r="D294" s="1"/>
  <c r="D320" s="1"/>
  <c r="D349" s="1"/>
  <c r="D375" s="1"/>
  <c r="D404" s="1"/>
  <c r="D433" s="1"/>
  <c r="D461" s="1"/>
  <c r="D491" s="1"/>
  <c r="D517" s="1"/>
  <c r="D545" s="1"/>
  <c r="D573" s="1"/>
  <c r="D602" s="1"/>
  <c r="D630" s="1"/>
  <c r="D657" s="1"/>
  <c r="D684" s="1"/>
  <c r="D712" s="1"/>
  <c r="D741" s="1"/>
  <c r="D768" s="1"/>
  <c r="D796" s="1"/>
  <c r="D825" s="1"/>
  <c r="D853" s="1"/>
  <c r="E800"/>
  <c r="H800"/>
  <c r="E801"/>
  <c r="H801"/>
  <c r="E802"/>
  <c r="H802"/>
  <c r="E803"/>
  <c r="H803"/>
  <c r="E804"/>
  <c r="H804"/>
  <c r="E805"/>
  <c r="H805"/>
  <c r="E806"/>
  <c r="H806"/>
  <c r="E807"/>
  <c r="H807"/>
  <c r="E812"/>
  <c r="H812"/>
  <c r="D458"/>
  <c r="D460"/>
  <c r="E465"/>
  <c r="H465"/>
  <c r="H477" s="1"/>
  <c r="E466"/>
  <c r="H466"/>
  <c r="E467"/>
  <c r="H467"/>
  <c r="E468"/>
  <c r="H468"/>
  <c r="E469"/>
  <c r="H469"/>
  <c r="E470"/>
  <c r="H470"/>
  <c r="E471"/>
  <c r="H471"/>
  <c r="E472"/>
  <c r="H472"/>
  <c r="E477"/>
  <c r="H835"/>
  <c r="H834"/>
  <c r="H833"/>
  <c r="H832"/>
  <c r="H830"/>
  <c r="E835"/>
  <c r="E834"/>
  <c r="E833"/>
  <c r="E832"/>
  <c r="E830"/>
  <c r="E829"/>
  <c r="D822"/>
  <c r="D824"/>
  <c r="H778"/>
  <c r="H777"/>
  <c r="H776"/>
  <c r="H775"/>
  <c r="H774"/>
  <c r="H773"/>
  <c r="E778"/>
  <c r="E777"/>
  <c r="E776"/>
  <c r="E775"/>
  <c r="E773"/>
  <c r="E772"/>
  <c r="D765"/>
  <c r="D767"/>
  <c r="H751"/>
  <c r="H750"/>
  <c r="H749"/>
  <c r="H748"/>
  <c r="H747"/>
  <c r="H746"/>
  <c r="E752"/>
  <c r="E751"/>
  <c r="E750"/>
  <c r="E749"/>
  <c r="E748"/>
  <c r="E747"/>
  <c r="E746"/>
  <c r="E745"/>
  <c r="D738"/>
  <c r="D740"/>
  <c r="H723"/>
  <c r="H722"/>
  <c r="H721"/>
  <c r="H720"/>
  <c r="H719"/>
  <c r="H718"/>
  <c r="H717"/>
  <c r="H716"/>
  <c r="H728" s="1"/>
  <c r="E723"/>
  <c r="E722"/>
  <c r="E721"/>
  <c r="E720"/>
  <c r="E719"/>
  <c r="E718"/>
  <c r="E717"/>
  <c r="E716"/>
  <c r="E728" s="1"/>
  <c r="D709"/>
  <c r="D711"/>
  <c r="H693"/>
  <c r="H692"/>
  <c r="H691"/>
  <c r="H690"/>
  <c r="E694"/>
  <c r="E693"/>
  <c r="E692"/>
  <c r="E691"/>
  <c r="D681"/>
  <c r="H667"/>
  <c r="H666"/>
  <c r="H665"/>
  <c r="H664"/>
  <c r="H663"/>
  <c r="H662"/>
  <c r="E667"/>
  <c r="E666"/>
  <c r="E665"/>
  <c r="E664"/>
  <c r="E662"/>
  <c r="E661"/>
  <c r="D654"/>
  <c r="D656"/>
  <c r="D629"/>
  <c r="D601"/>
  <c r="D572"/>
  <c r="D544"/>
  <c r="D516"/>
  <c r="D490"/>
  <c r="D432"/>
  <c r="D403"/>
  <c r="D374"/>
  <c r="D348"/>
  <c r="H641"/>
  <c r="H640"/>
  <c r="H639"/>
  <c r="H638"/>
  <c r="H637"/>
  <c r="H636"/>
  <c r="H635"/>
  <c r="H634"/>
  <c r="H646" s="1"/>
  <c r="E641"/>
  <c r="E640"/>
  <c r="E639"/>
  <c r="E638"/>
  <c r="E637"/>
  <c r="E636"/>
  <c r="E635"/>
  <c r="E634"/>
  <c r="E646" s="1"/>
  <c r="D627"/>
  <c r="H613"/>
  <c r="H612"/>
  <c r="H611"/>
  <c r="H610"/>
  <c r="H609"/>
  <c r="H608"/>
  <c r="H607"/>
  <c r="H606"/>
  <c r="H618" s="1"/>
  <c r="E613"/>
  <c r="E612"/>
  <c r="E611"/>
  <c r="E610"/>
  <c r="E609"/>
  <c r="E608"/>
  <c r="E607"/>
  <c r="E606"/>
  <c r="E618" s="1"/>
  <c r="D599"/>
  <c r="H584"/>
  <c r="H583"/>
  <c r="H582"/>
  <c r="H581"/>
  <c r="H580"/>
  <c r="H579"/>
  <c r="H578"/>
  <c r="E584"/>
  <c r="E583"/>
  <c r="E582"/>
  <c r="E581"/>
  <c r="E579"/>
  <c r="E578"/>
  <c r="E577"/>
  <c r="D570"/>
  <c r="H555"/>
  <c r="H554"/>
  <c r="H553"/>
  <c r="H552"/>
  <c r="H551"/>
  <c r="H550"/>
  <c r="E555"/>
  <c r="E554"/>
  <c r="E553"/>
  <c r="E552"/>
  <c r="E550"/>
  <c r="E549"/>
  <c r="D542"/>
  <c r="H527"/>
  <c r="H526"/>
  <c r="H524"/>
  <c r="H523"/>
  <c r="H522"/>
  <c r="E528"/>
  <c r="E527"/>
  <c r="E526"/>
  <c r="E525"/>
  <c r="E524"/>
  <c r="E522"/>
  <c r="E521"/>
  <c r="D514"/>
  <c r="H501"/>
  <c r="H500"/>
  <c r="H499"/>
  <c r="H498"/>
  <c r="H497"/>
  <c r="H496"/>
  <c r="E502"/>
  <c r="E501"/>
  <c r="E500"/>
  <c r="E499"/>
  <c r="E498"/>
  <c r="E496"/>
  <c r="E495"/>
  <c r="D488"/>
  <c r="H444"/>
  <c r="H443"/>
  <c r="H442"/>
  <c r="H441"/>
  <c r="H440"/>
  <c r="H439"/>
  <c r="H438"/>
  <c r="E443"/>
  <c r="E442"/>
  <c r="E441"/>
  <c r="E440"/>
  <c r="E437"/>
  <c r="D430"/>
  <c r="H414"/>
  <c r="H413"/>
  <c r="H412"/>
  <c r="H411"/>
  <c r="H410"/>
  <c r="H409"/>
  <c r="E415"/>
  <c r="E414"/>
  <c r="E413"/>
  <c r="E412"/>
  <c r="E411"/>
  <c r="E409"/>
  <c r="E408"/>
  <c r="D401"/>
  <c r="H359"/>
  <c r="H358"/>
  <c r="H357"/>
  <c r="H356"/>
  <c r="H355"/>
  <c r="H354"/>
  <c r="E360"/>
  <c r="E359"/>
  <c r="E358"/>
  <c r="E357"/>
  <c r="E356"/>
  <c r="E354"/>
  <c r="E353"/>
  <c r="H386"/>
  <c r="H385"/>
  <c r="H384"/>
  <c r="H383"/>
  <c r="H382"/>
  <c r="H381"/>
  <c r="H380"/>
  <c r="E386"/>
  <c r="E385"/>
  <c r="E384"/>
  <c r="E383"/>
  <c r="E380"/>
  <c r="E379"/>
  <c r="D372"/>
  <c r="D346"/>
  <c r="D93"/>
  <c r="D122"/>
  <c r="D151"/>
  <c r="D179"/>
  <c r="D207"/>
  <c r="D235"/>
  <c r="D265"/>
  <c r="D293"/>
  <c r="D319"/>
  <c r="H331"/>
  <c r="H330"/>
  <c r="H329"/>
  <c r="H328"/>
  <c r="H327"/>
  <c r="H326"/>
  <c r="H325"/>
  <c r="E331"/>
  <c r="E330"/>
  <c r="E329"/>
  <c r="E328"/>
  <c r="E327"/>
  <c r="E326"/>
  <c r="E325"/>
  <c r="E324"/>
  <c r="D317"/>
  <c r="H305"/>
  <c r="H304"/>
  <c r="H303"/>
  <c r="H302"/>
  <c r="H301"/>
  <c r="H300"/>
  <c r="H299"/>
  <c r="E305"/>
  <c r="E304"/>
  <c r="E303"/>
  <c r="E302"/>
  <c r="E301"/>
  <c r="E299"/>
  <c r="E298"/>
  <c r="D291"/>
  <c r="H276"/>
  <c r="H275"/>
  <c r="H273"/>
  <c r="H272"/>
  <c r="H271"/>
  <c r="E277"/>
  <c r="E276"/>
  <c r="E275"/>
  <c r="E274"/>
  <c r="E273"/>
  <c r="E271"/>
  <c r="E270"/>
  <c r="D263"/>
  <c r="H246"/>
  <c r="H245"/>
  <c r="H244"/>
  <c r="H243"/>
  <c r="H242"/>
  <c r="H241"/>
  <c r="E246"/>
  <c r="E245"/>
  <c r="E244"/>
  <c r="E242"/>
  <c r="E241"/>
  <c r="E240"/>
  <c r="D233"/>
  <c r="H219"/>
  <c r="H218"/>
  <c r="H217"/>
  <c r="H216"/>
  <c r="H215"/>
  <c r="H214"/>
  <c r="H213"/>
  <c r="E219"/>
  <c r="E218"/>
  <c r="E217"/>
  <c r="E216"/>
  <c r="E215"/>
  <c r="E213"/>
  <c r="E212"/>
  <c r="D205"/>
  <c r="H191"/>
  <c r="H190"/>
  <c r="H189"/>
  <c r="H188"/>
  <c r="H187"/>
  <c r="H186"/>
  <c r="H185"/>
  <c r="E191"/>
  <c r="E190"/>
  <c r="E189"/>
  <c r="E188"/>
  <c r="E187"/>
  <c r="E184"/>
  <c r="D177"/>
  <c r="H162"/>
  <c r="H161"/>
  <c r="H160"/>
  <c r="H159"/>
  <c r="H158"/>
  <c r="H157"/>
  <c r="E162"/>
  <c r="E161"/>
  <c r="E160"/>
  <c r="E159"/>
  <c r="E157"/>
  <c r="E156"/>
  <c r="D149"/>
  <c r="H133"/>
  <c r="H132"/>
  <c r="H131"/>
  <c r="H130"/>
  <c r="H129"/>
  <c r="H128"/>
  <c r="E134"/>
  <c r="E133"/>
  <c r="E132"/>
  <c r="E131"/>
  <c r="E130"/>
  <c r="E129"/>
  <c r="E128"/>
  <c r="E127"/>
  <c r="H104"/>
  <c r="H103"/>
  <c r="H102"/>
  <c r="H101"/>
  <c r="H100"/>
  <c r="H99"/>
  <c r="E105"/>
  <c r="E104"/>
  <c r="E103"/>
  <c r="E102"/>
  <c r="E99"/>
  <c r="E98"/>
  <c r="D91"/>
  <c r="H76"/>
  <c r="H74"/>
  <c r="H73"/>
  <c r="H72"/>
  <c r="H71"/>
  <c r="E77"/>
  <c r="E75"/>
  <c r="E74"/>
  <c r="E73"/>
  <c r="E71"/>
  <c r="E70"/>
  <c r="D65"/>
  <c r="D63"/>
  <c r="H75"/>
  <c r="H49"/>
  <c r="H48"/>
  <c r="H47"/>
  <c r="H46"/>
  <c r="H45"/>
  <c r="H44"/>
  <c r="H43"/>
  <c r="E49"/>
  <c r="E48"/>
  <c r="E47"/>
  <c r="E46"/>
  <c r="E43"/>
  <c r="E42"/>
  <c r="D37"/>
  <c r="D35"/>
  <c r="H18"/>
  <c r="H17"/>
  <c r="H16"/>
  <c r="H15"/>
  <c r="H14"/>
  <c r="H13"/>
  <c r="E19"/>
  <c r="E18"/>
  <c r="E17"/>
  <c r="E16"/>
  <c r="E15"/>
  <c r="E13"/>
  <c r="E12"/>
  <c r="D7"/>
  <c r="D5"/>
  <c r="E420" l="1"/>
  <c r="E28" i="6"/>
  <c r="H525" i="15"/>
  <c r="E695"/>
  <c r="E668"/>
  <c r="E444"/>
  <c r="E449" s="1"/>
  <c r="E556"/>
  <c r="E779"/>
  <c r="E16" i="6"/>
  <c r="E13"/>
  <c r="E168" i="15"/>
  <c r="H836"/>
  <c r="E836"/>
  <c r="E478"/>
  <c r="E813"/>
  <c r="E101"/>
  <c r="E382"/>
  <c r="E580"/>
  <c r="E589" s="1"/>
  <c r="E551"/>
  <c r="E859"/>
  <c r="E869" s="1"/>
  <c r="E300"/>
  <c r="E310" s="1"/>
  <c r="H556"/>
  <c r="E831"/>
  <c r="E774"/>
  <c r="E272"/>
  <c r="E282" s="1"/>
  <c r="E381"/>
  <c r="H98"/>
  <c r="H110" s="1"/>
  <c r="H212"/>
  <c r="H224" s="1"/>
  <c r="H70"/>
  <c r="H82" s="1"/>
  <c r="E100"/>
  <c r="E72"/>
  <c r="E82" s="1"/>
  <c r="E224"/>
  <c r="H857"/>
  <c r="H42"/>
  <c r="H54" s="1"/>
  <c r="E757"/>
  <c r="E139"/>
  <c r="E336"/>
  <c r="E619"/>
  <c r="E647"/>
  <c r="E729"/>
  <c r="H495"/>
  <c r="H391"/>
  <c r="E14"/>
  <c r="E24" s="1"/>
  <c r="H184"/>
  <c r="H196" s="1"/>
  <c r="H298"/>
  <c r="H310" s="1"/>
  <c r="H577"/>
  <c r="H589" s="1"/>
  <c r="H205"/>
  <c r="H177"/>
  <c r="H233" s="1"/>
  <c r="H263" s="1"/>
  <c r="H291" s="1"/>
  <c r="H317" s="1"/>
  <c r="H346" s="1"/>
  <c r="H372" s="1"/>
  <c r="H401" s="1"/>
  <c r="H430" s="1"/>
  <c r="H458" s="1"/>
  <c r="H688"/>
  <c r="H127"/>
  <c r="H139" s="1"/>
  <c r="H274"/>
  <c r="E186"/>
  <c r="E523"/>
  <c r="E533" s="1"/>
  <c r="E663"/>
  <c r="H353"/>
  <c r="E247"/>
  <c r="E252" s="1"/>
  <c r="H277"/>
  <c r="E185"/>
  <c r="E355"/>
  <c r="E365" s="1"/>
  <c r="E497"/>
  <c r="E507" s="1"/>
  <c r="E690"/>
  <c r="H861"/>
  <c r="E21" i="93" l="1"/>
  <c r="L51" i="8"/>
  <c r="E18" i="6" s="1"/>
  <c r="E29"/>
  <c r="E673" i="15"/>
  <c r="E561"/>
  <c r="E17" i="6"/>
  <c r="E26"/>
  <c r="E27"/>
  <c r="E700" i="15"/>
  <c r="E784"/>
  <c r="I8" i="6"/>
  <c r="E391" i="15"/>
  <c r="E392" s="1"/>
  <c r="H19"/>
  <c r="E841"/>
  <c r="H772"/>
  <c r="H829"/>
  <c r="H841" s="1"/>
  <c r="H561"/>
  <c r="H521"/>
  <c r="E110"/>
  <c r="E111" s="1"/>
  <c r="E590"/>
  <c r="H437"/>
  <c r="H449" s="1"/>
  <c r="E450" s="1"/>
  <c r="E140"/>
  <c r="E311"/>
  <c r="E225"/>
  <c r="H502"/>
  <c r="H507" s="1"/>
  <c r="E508" s="1"/>
  <c r="H695"/>
  <c r="H700" s="1"/>
  <c r="H668"/>
  <c r="H752"/>
  <c r="H757" s="1"/>
  <c r="E758" s="1"/>
  <c r="H408"/>
  <c r="H270"/>
  <c r="H282" s="1"/>
  <c r="E283" s="1"/>
  <c r="H240"/>
  <c r="H252" s="1"/>
  <c r="E253" s="1"/>
  <c r="E196"/>
  <c r="E197" s="1"/>
  <c r="E83"/>
  <c r="H869"/>
  <c r="E870" s="1"/>
  <c r="H324"/>
  <c r="H336" s="1"/>
  <c r="E337" s="1"/>
  <c r="H168"/>
  <c r="E169" s="1"/>
  <c r="H12"/>
  <c r="H661"/>
  <c r="H514"/>
  <c r="H570" s="1"/>
  <c r="H599" s="1"/>
  <c r="H627" s="1"/>
  <c r="H654" s="1"/>
  <c r="H681" s="1"/>
  <c r="H709" s="1"/>
  <c r="H738" s="1"/>
  <c r="H765" s="1"/>
  <c r="H793" s="1"/>
  <c r="H822" s="1"/>
  <c r="H850" s="1"/>
  <c r="H488"/>
  <c r="H542" s="1"/>
  <c r="E45"/>
  <c r="E54" s="1"/>
  <c r="E22" i="93" l="1"/>
  <c r="E562" i="15"/>
  <c r="E701"/>
  <c r="H420"/>
  <c r="E421" s="1"/>
  <c r="E55"/>
  <c r="H24"/>
  <c r="E25" s="1"/>
  <c r="E842"/>
  <c r="H673"/>
  <c r="E674" s="1"/>
  <c r="H779"/>
  <c r="H784" s="1"/>
  <c r="E785" s="1"/>
  <c r="H528"/>
  <c r="H533" s="1"/>
  <c r="E534" s="1"/>
  <c r="H360"/>
  <c r="H365" s="1"/>
  <c r="E366" s="1"/>
  <c r="T10" i="28" l="1"/>
  <c r="I23" i="74" s="1"/>
  <c r="I26" s="1"/>
  <c r="F38" i="28"/>
  <c r="F36"/>
  <c r="W14" l="1"/>
  <c r="W16" s="1"/>
  <c r="Y13"/>
  <c r="I27" i="6"/>
  <c r="F37" i="28"/>
  <c r="H36"/>
  <c r="U14" l="1"/>
  <c r="U16" s="1"/>
  <c r="Y33" s="1"/>
  <c r="T16"/>
  <c r="I32" i="6"/>
  <c r="I34" s="1"/>
  <c r="H37" i="28"/>
  <c r="H40" s="1"/>
  <c r="AB23" i="74" l="1"/>
  <c r="AE23" s="1"/>
  <c r="Y12" i="28"/>
  <c r="X14"/>
  <c r="T21" l="1"/>
  <c r="Y14"/>
  <c r="T32" s="1"/>
  <c r="X16"/>
  <c r="Y16" l="1"/>
  <c r="Y31" s="1"/>
  <c r="Y34" s="1"/>
  <c r="U34" l="1"/>
  <c r="T31" s="1"/>
</calcChain>
</file>

<file path=xl/comments1.xml><?xml version="1.0" encoding="utf-8"?>
<comments xmlns="http://schemas.openxmlformats.org/spreadsheetml/2006/main">
  <authors>
    <author>Author</author>
  </authors>
  <commentList>
    <comment ref="P9" authorId="0">
      <text/>
    </comment>
    <comment ref="P2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Home Loan availed from  Oct 2020</t>
        </r>
      </text>
    </comment>
    <comment ref="M2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1000/-  handicap allowance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VN 30 DEDUCTION</t>
        </r>
      </text>
    </comment>
    <comment ref="U3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3 MONTHS  NOV22 TO JAN 23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3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APR change</t>
        </r>
      </text>
    </comment>
    <comment ref="I3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APR change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VN 30 DEDUCTION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VN 30 DEDUCTION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D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VN 30 DEDUCTION</t>
        </r>
      </text>
    </comment>
  </commentList>
</comments>
</file>

<file path=xl/sharedStrings.xml><?xml version="1.0" encoding="utf-8"?>
<sst xmlns="http://schemas.openxmlformats.org/spreadsheetml/2006/main" count="1757" uniqueCount="318">
  <si>
    <t>Total</t>
  </si>
  <si>
    <t>Vishal kalia</t>
  </si>
  <si>
    <t>Seema Yadav</t>
  </si>
  <si>
    <t>Vivek Narota</t>
  </si>
  <si>
    <t>Achal</t>
  </si>
  <si>
    <t>Rajesh sharma</t>
  </si>
  <si>
    <t>Kul prasad</t>
  </si>
  <si>
    <t>Kalawati</t>
  </si>
  <si>
    <t>DA</t>
  </si>
  <si>
    <t>HRA</t>
  </si>
  <si>
    <t/>
  </si>
  <si>
    <t>CPF</t>
  </si>
  <si>
    <t>GI</t>
  </si>
  <si>
    <t>TF</t>
  </si>
  <si>
    <t>Sr. No.</t>
  </si>
  <si>
    <t>Name</t>
  </si>
  <si>
    <t>HR/W</t>
  </si>
  <si>
    <t>I. TAX</t>
  </si>
  <si>
    <t>GIS</t>
  </si>
  <si>
    <t>Net Payable</t>
  </si>
  <si>
    <t>Med All</t>
  </si>
  <si>
    <t>Achal Bisht</t>
  </si>
  <si>
    <t>Kuldeep Singh</t>
  </si>
  <si>
    <t>Munish Julka</t>
  </si>
  <si>
    <t>H.Rent</t>
  </si>
  <si>
    <t>Suresh Chand</t>
  </si>
  <si>
    <t>LESS : CHARGES</t>
  </si>
  <si>
    <t>I.Tax</t>
  </si>
  <si>
    <t>GROSS FIG.</t>
  </si>
  <si>
    <t>Ded</t>
  </si>
  <si>
    <t>EPF</t>
  </si>
  <si>
    <t>Qual. Amt</t>
  </si>
  <si>
    <t>Max Limit</t>
  </si>
  <si>
    <t>NET</t>
  </si>
  <si>
    <t>ADD : DP,DA,HRA ……... GIVEN AS PER SHEET</t>
  </si>
  <si>
    <t>Medical</t>
  </si>
  <si>
    <t>Hon/W &amp; Spl</t>
  </si>
  <si>
    <t>OTHER</t>
  </si>
  <si>
    <t>NET SALARY PAID THROUGH SBI</t>
  </si>
  <si>
    <t>Shashi Bhoria</t>
  </si>
  <si>
    <t>EPF (A)</t>
  </si>
  <si>
    <t>NET SALARY PAYABLE IN THE MONTH</t>
  </si>
  <si>
    <t xml:space="preserve">TOTAL Gross SALARY SHOWN IN The MONTH </t>
  </si>
  <si>
    <t>A/C no: 1</t>
  </si>
  <si>
    <t>GP</t>
  </si>
  <si>
    <t>PB SALARY COMPUTED AS PER SHEET</t>
  </si>
  <si>
    <t>CHANDIGARH INSTITUTE OF HOTEL MANAGEMENT</t>
  </si>
  <si>
    <t>Month</t>
  </si>
  <si>
    <t>I.TAX</t>
  </si>
  <si>
    <t>INSTRUCTOR</t>
  </si>
  <si>
    <t>SECTOR : 42 /D , CHANDIGARH</t>
  </si>
  <si>
    <t>PRINCIPAL</t>
  </si>
  <si>
    <t>EPF NO.</t>
  </si>
  <si>
    <t>Account no:</t>
  </si>
  <si>
    <t>UNIT</t>
  </si>
  <si>
    <t>DEDUCTIONS</t>
  </si>
  <si>
    <t>BP/PB</t>
  </si>
  <si>
    <t>DP/GP</t>
  </si>
  <si>
    <t>H.RENT</t>
  </si>
  <si>
    <t>MA</t>
  </si>
  <si>
    <t>NET AMOUNT (IN RS)</t>
  </si>
  <si>
    <t>Designation :</t>
  </si>
  <si>
    <t>EMPL. NAME :</t>
  </si>
  <si>
    <t>EPF CODE</t>
  </si>
  <si>
    <t>SPL PAY</t>
  </si>
  <si>
    <t>EARNINGS</t>
  </si>
  <si>
    <t>FEST ADV</t>
  </si>
  <si>
    <t>CONV ADV</t>
  </si>
  <si>
    <t>PN-7656</t>
  </si>
  <si>
    <t>Asstt. Instructor</t>
  </si>
  <si>
    <t>Storekeeper</t>
  </si>
  <si>
    <t>Maint. Foremen</t>
  </si>
  <si>
    <t>Dafftri -cum- Peon</t>
  </si>
  <si>
    <t>Chowkidar</t>
  </si>
  <si>
    <t>Lab Attendent</t>
  </si>
  <si>
    <t>J.P KANT</t>
  </si>
  <si>
    <t>JR. ASSTT.</t>
  </si>
  <si>
    <t>SWEEPER</t>
  </si>
  <si>
    <t>MALI</t>
  </si>
  <si>
    <t>PF Calculation required for Challan Preparation of Provident Fund</t>
  </si>
  <si>
    <t>Total Basic Value</t>
  </si>
  <si>
    <t>S/n</t>
  </si>
  <si>
    <t>Particulars</t>
  </si>
  <si>
    <t>A/c 1</t>
  </si>
  <si>
    <t>A/c 2</t>
  </si>
  <si>
    <t>A/c 10</t>
  </si>
  <si>
    <t>A/c 21</t>
  </si>
  <si>
    <t>A/c 22</t>
  </si>
  <si>
    <t>Total Rs.</t>
  </si>
  <si>
    <t>Employer's contribution</t>
  </si>
  <si>
    <t>Employees' Contribution</t>
  </si>
  <si>
    <t>Admiminstrative Exps.</t>
  </si>
  <si>
    <t>Misc</t>
  </si>
  <si>
    <t xml:space="preserve">Total  </t>
  </si>
  <si>
    <t>NAME</t>
  </si>
  <si>
    <t>PN -7656/</t>
  </si>
  <si>
    <t>PF Code</t>
  </si>
  <si>
    <t>No.</t>
  </si>
  <si>
    <t>Sr No:</t>
  </si>
  <si>
    <t>PB</t>
  </si>
  <si>
    <t>Rajan Arora</t>
  </si>
  <si>
    <t>INST TOTAL</t>
  </si>
  <si>
    <t>GROSS Total</t>
  </si>
  <si>
    <t>CLERK</t>
  </si>
  <si>
    <t>Ramkiran</t>
  </si>
  <si>
    <t>DETAIL OF EPF FOR THE M/O Sept 2010</t>
  </si>
  <si>
    <t>Others</t>
  </si>
  <si>
    <t>MBL All.</t>
  </si>
  <si>
    <t>HR/SPL PAY</t>
  </si>
  <si>
    <t>SPL ALL /CNVY</t>
  </si>
  <si>
    <t>SIGN</t>
  </si>
  <si>
    <t>Conv. Adv</t>
  </si>
  <si>
    <t>Shashi Bhoria Bhatia</t>
  </si>
  <si>
    <t>Astt  INSTRUCTOR</t>
  </si>
  <si>
    <t>Rajan   Incr</t>
  </si>
  <si>
    <t>Devinder Singh</t>
  </si>
  <si>
    <t>GROSS</t>
  </si>
  <si>
    <t>IR</t>
  </si>
  <si>
    <t>IR5</t>
  </si>
  <si>
    <t>.00%</t>
  </si>
  <si>
    <t>Sr Lecturer</t>
  </si>
  <si>
    <t>Lecturer cum Instructor</t>
  </si>
  <si>
    <t>SR. ASSTT. Accounts</t>
  </si>
  <si>
    <t>CIHM EMPLOYEES NAMES</t>
  </si>
  <si>
    <t>DETAIL OF GI DEDUCTION OF CHD INST OF HOTEL MGT.</t>
  </si>
  <si>
    <t xml:space="preserve"> TARUN</t>
  </si>
  <si>
    <t>PANKAJ KAUNDAL</t>
  </si>
  <si>
    <t>ASHOK KUMAR RAY</t>
  </si>
  <si>
    <t>other / MESS</t>
  </si>
  <si>
    <t>VIVEK NAROTRA</t>
  </si>
  <si>
    <t xml:space="preserve">MR TARUN </t>
  </si>
  <si>
    <t>RAMKIRAN</t>
  </si>
  <si>
    <t>AO</t>
  </si>
  <si>
    <t>OFFICE SUPTD</t>
  </si>
  <si>
    <t>PB/ Consolidated</t>
  </si>
  <si>
    <t>GrossTotal</t>
  </si>
  <si>
    <t>Asstt. Lecturer</t>
  </si>
  <si>
    <t>38353248280</t>
  </si>
  <si>
    <t>38115197723</t>
  </si>
  <si>
    <t>Ashok kr. Ray</t>
  </si>
  <si>
    <t>SOUMYAJIT BANDYOPODHAY</t>
  </si>
  <si>
    <t>ANAND MALIK</t>
  </si>
  <si>
    <t>PM FUND</t>
  </si>
  <si>
    <t xml:space="preserve">Achal Bisht  </t>
  </si>
  <si>
    <t>CPF 12%</t>
  </si>
  <si>
    <t>AMOUNT</t>
  </si>
  <si>
    <t>Suresh Chand (CONTRACTUAL)</t>
  </si>
  <si>
    <t>Amount</t>
  </si>
  <si>
    <t>FORM 12-A (REVISED)</t>
  </si>
  <si>
    <r>
      <t>THE EMPLOYEES' PROVIDENT FUNDS &amp; MISC. PROVISION ACT, 1952</t>
    </r>
    <r>
      <rPr>
        <sz val="12"/>
        <rFont val="Arial"/>
        <family val="2"/>
      </rPr>
      <t xml:space="preserve">                  </t>
    </r>
  </si>
  <si>
    <t>EMPLOYEES' PENSION SCHEME [PRARGRAPH 20(4)]</t>
  </si>
  <si>
    <t>Only for Un-Exempted Establishments</t>
  </si>
  <si>
    <t>Name and address of the Establishment</t>
  </si>
  <si>
    <t>(To be filled in by EPFO)</t>
  </si>
  <si>
    <t>Chandigarh Institute of hotel Management</t>
  </si>
  <si>
    <t>Sector- 42</t>
  </si>
  <si>
    <t xml:space="preserve">Currency period from 1st April </t>
  </si>
  <si>
    <t>to 31st March</t>
  </si>
  <si>
    <t>Establishment Status</t>
  </si>
  <si>
    <t>Chandigarh</t>
  </si>
  <si>
    <t>Statement of Contributions for the month of</t>
  </si>
  <si>
    <t>-</t>
  </si>
  <si>
    <t>Code No.</t>
  </si>
  <si>
    <t>P</t>
  </si>
  <si>
    <t>N</t>
  </si>
  <si>
    <t>Statutory Rate of Contribution</t>
  </si>
  <si>
    <t>%</t>
  </si>
  <si>
    <t>Group Code</t>
  </si>
  <si>
    <t>Wages on which</t>
  </si>
  <si>
    <t>Amount of Contribution</t>
  </si>
  <si>
    <t>Amount of Contributions Remitted</t>
  </si>
  <si>
    <t xml:space="preserve">Date of </t>
  </si>
  <si>
    <t>Contributions</t>
  </si>
  <si>
    <t>of</t>
  </si>
  <si>
    <t>Remittace</t>
  </si>
  <si>
    <t>are Payable</t>
  </si>
  <si>
    <t>Admin</t>
  </si>
  <si>
    <t>(Enclose Triplicate</t>
  </si>
  <si>
    <t>Recovered</t>
  </si>
  <si>
    <t>Payable by the</t>
  </si>
  <si>
    <t>Worker's</t>
  </si>
  <si>
    <t>Employer's</t>
  </si>
  <si>
    <t>Charges</t>
  </si>
  <si>
    <t>Copies of Challan)</t>
  </si>
  <si>
    <t xml:space="preserve">from the </t>
  </si>
  <si>
    <t>Employer</t>
  </si>
  <si>
    <t>Share</t>
  </si>
  <si>
    <t>Due</t>
  </si>
  <si>
    <t>Worker</t>
  </si>
  <si>
    <t>E.P.F. A/c No. 01</t>
  </si>
  <si>
    <t>Pension Fund A/c No. 10</t>
  </si>
  <si>
    <t>NIL</t>
  </si>
  <si>
    <t>D.L.I. A/c No. 21</t>
  </si>
  <si>
    <t>Total No. of Employees</t>
  </si>
  <si>
    <t>Name and address</t>
  </si>
  <si>
    <t xml:space="preserve">State Bank of India , </t>
  </si>
  <si>
    <t>(a)</t>
  </si>
  <si>
    <t>Contract</t>
  </si>
  <si>
    <t>of the Bank in which</t>
  </si>
  <si>
    <t>Sector</t>
  </si>
  <si>
    <t>(b)</t>
  </si>
  <si>
    <t>Rest</t>
  </si>
  <si>
    <t>amount is remitted:</t>
  </si>
  <si>
    <t xml:space="preserve">(c) </t>
  </si>
  <si>
    <t>Details of Subscribers</t>
  </si>
  <si>
    <t>E.P.F.</t>
  </si>
  <si>
    <t>Pension</t>
  </si>
  <si>
    <t>E.D.L.I.</t>
  </si>
  <si>
    <t>Scheme</t>
  </si>
  <si>
    <t>Number as per last month's return</t>
  </si>
  <si>
    <t>+) Number of Subscribers vide Form No. 5</t>
  </si>
  <si>
    <t>-) Number of Subscribers vide Form No. 10</t>
  </si>
  <si>
    <t>Net total</t>
  </si>
  <si>
    <t>Signature of Employer with Office Seal</t>
  </si>
  <si>
    <t>other
  AllWNC</t>
  </si>
  <si>
    <t>22</t>
  </si>
  <si>
    <t xml:space="preserve"> Principal</t>
  </si>
  <si>
    <t>EMPLOYER CONT TO PF</t>
  </si>
  <si>
    <t>EPF PAYABLE A/C</t>
  </si>
  <si>
    <t>DR</t>
  </si>
  <si>
    <t>CR</t>
  </si>
  <si>
    <t>LIA HCB</t>
  </si>
  <si>
    <t>SBI</t>
  </si>
  <si>
    <t>EPF PAYABLE</t>
  </si>
  <si>
    <t>EPF ADMIN CHARGES (INC EDLI)</t>
  </si>
  <si>
    <t>SB C/A 1674</t>
  </si>
  <si>
    <t>Jr Asstt.</t>
  </si>
  <si>
    <t>MR SURESH CHAND</t>
  </si>
  <si>
    <t>SUPTD- II</t>
  </si>
  <si>
    <t>PRANAV BHATT</t>
  </si>
  <si>
    <t>VINAY KUMAR</t>
  </si>
  <si>
    <t>055141883032</t>
  </si>
  <si>
    <t>,373701500848</t>
  </si>
  <si>
    <t xml:space="preserve">ASHOK KUMAR RAY </t>
  </si>
  <si>
    <t>TEACHING ASSOCIATE</t>
  </si>
  <si>
    <t xml:space="preserve">POST OF S. KEEPER (1) SCALE </t>
  </si>
  <si>
    <t xml:space="preserve">POST OF  A O (1) </t>
  </si>
  <si>
    <t xml:space="preserve"> Lecturer</t>
  </si>
  <si>
    <t>23</t>
  </si>
  <si>
    <t>POST OF CLERK  AND JR ASSTT  each</t>
  </si>
  <si>
    <t>Sector: 42/ D , Chandigarh.</t>
  </si>
  <si>
    <t>Statement showing the net amount of salary and other entitlements</t>
  </si>
  <si>
    <t>creditable to the saving bank a/c of the Govt. employees  mentioned</t>
  </si>
  <si>
    <t xml:space="preserve">against such as included in the aggregate amount of Bank Advice / </t>
  </si>
  <si>
    <t>Sector- 42/D, Chandigarh.</t>
  </si>
  <si>
    <t>Sr no</t>
  </si>
  <si>
    <t>SB A/C no.</t>
  </si>
  <si>
    <t>J.P kant</t>
  </si>
  <si>
    <t>Ram Kiran</t>
  </si>
  <si>
    <t>MR TARUN</t>
  </si>
  <si>
    <t>Gross amt</t>
  </si>
  <si>
    <t>(VISHAL KALIA)</t>
  </si>
  <si>
    <t xml:space="preserve">Principal  </t>
  </si>
  <si>
    <t>RR</t>
  </si>
  <si>
    <t>60 below</t>
  </si>
  <si>
    <t>gross</t>
  </si>
  <si>
    <t>ded</t>
  </si>
  <si>
    <t>net</t>
  </si>
  <si>
    <t>t tax</t>
  </si>
  <si>
    <t>ded till</t>
  </si>
  <si>
    <t>bal</t>
  </si>
  <si>
    <t>pm</t>
  </si>
  <si>
    <t>lakh</t>
  </si>
  <si>
    <t>tax</t>
  </si>
  <si>
    <t>vk</t>
  </si>
  <si>
    <t>sb</t>
  </si>
  <si>
    <t>jp</t>
  </si>
  <si>
    <t>ds</t>
  </si>
  <si>
    <t xml:space="preserve">SANDEEP  KHAPRA   </t>
  </si>
  <si>
    <t>SOUMYAJIT BANDYOPADHYAY</t>
  </si>
  <si>
    <t>POST OF HOD  / SR INSTRUCTOR 2 NO</t>
  </si>
  <si>
    <t xml:space="preserve">POST OF TEACHING ASSOCIATES </t>
  </si>
  <si>
    <t>HOD</t>
  </si>
  <si>
    <t xml:space="preserve">SR LECTURER </t>
  </si>
  <si>
    <t xml:space="preserve">POST OF SR LECTURER CUM SR INSTRUCTOR (S) 3   &amp; 1 Sr Asstt Accounts   And 1 Contract employee </t>
  </si>
  <si>
    <t>TRVL 
ALL</t>
  </si>
  <si>
    <t>LVL</t>
  </si>
  <si>
    <t>7/14</t>
  </si>
  <si>
    <t>6/22</t>
  </si>
  <si>
    <t>6/19</t>
  </si>
  <si>
    <t>BASIC</t>
  </si>
  <si>
    <t>13/1</t>
  </si>
  <si>
    <t>HRA 18</t>
  </si>
  <si>
    <t>9/10</t>
  </si>
  <si>
    <t>7/1</t>
  </si>
  <si>
    <t>6/1</t>
  </si>
  <si>
    <t>LIC FEE</t>
  </si>
  <si>
    <t>POST OF ASTT. LECTURER CUM ASTT INSTRUCTOR (S) 6  BASIC 38500 &amp; 44900</t>
  </si>
  <si>
    <t>TRAVELLING ALL</t>
  </si>
  <si>
    <t>BP+DA 
TOTAL</t>
  </si>
  <si>
    <t>TRV.AL</t>
  </si>
  <si>
    <t>TRV ALW</t>
  </si>
  <si>
    <t>.</t>
  </si>
  <si>
    <t>TRV ALW/ PH ALL</t>
  </si>
  <si>
    <t>11/16</t>
  </si>
  <si>
    <t>10/15</t>
  </si>
  <si>
    <t>9/26</t>
  </si>
  <si>
    <t>9/14</t>
  </si>
  <si>
    <t>9/11</t>
  </si>
  <si>
    <t xml:space="preserve">SH PRANAV BHATT </t>
  </si>
  <si>
    <t xml:space="preserve"> VINAY KUMAR </t>
  </si>
  <si>
    <t>OTHER/ PENSION</t>
  </si>
  <si>
    <t>DA 46</t>
  </si>
  <si>
    <t>DOI</t>
  </si>
  <si>
    <t>7 CPC INCREMENTS MONTH EMPLOYEEWISE</t>
  </si>
  <si>
    <t>POST OF  (1)  PRINCIPAL  LEVEL 13  RS123100/- ONWARDS</t>
  </si>
  <si>
    <t>Name of the office: CHANDIGARH INSTITUTE OF HOTEL MGT</t>
  </si>
  <si>
    <t>tf</t>
  </si>
  <si>
    <t>cl</t>
  </si>
  <si>
    <t>EPF MAR 2024</t>
  </si>
  <si>
    <t>SALARY RECONCILIATION FOR MONTH OF MARCH 2024</t>
  </si>
  <si>
    <t>Salary Bill For the month of MAR 2024</t>
  </si>
  <si>
    <t>MONTH : MAR  2024</t>
  </si>
  <si>
    <t>Ms Chanmeet Kaur</t>
  </si>
  <si>
    <t>Mr Rishav Thakur</t>
  </si>
  <si>
    <t>240977+219727</t>
  </si>
  <si>
    <t>Ms Chanmeet Kaur (21d)</t>
  </si>
  <si>
    <t>dated:28.03.2024  for Rs  1606063/- Drawn on State Bank of India,</t>
  </si>
</sst>
</file>

<file path=xl/styles.xml><?xml version="1.0" encoding="utf-8"?>
<styleSheet xmlns="http://schemas.openxmlformats.org/spreadsheetml/2006/main">
  <numFmts count="1">
    <numFmt numFmtId="164" formatCode="0;[Red]0"/>
  </numFmts>
  <fonts count="5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Book Antiqua"/>
      <family val="1"/>
    </font>
    <font>
      <b/>
      <u/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1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u/>
      <sz val="14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Book Antiqua"/>
      <family val="1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Arial"/>
      <family val="2"/>
    </font>
    <font>
      <u/>
      <sz val="12"/>
      <name val="Calibri"/>
      <family val="2"/>
      <scheme val="minor"/>
    </font>
    <font>
      <sz val="12"/>
      <name val="Arial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9"/>
      <name val="Calibri"/>
      <family val="2"/>
      <scheme val="minor"/>
    </font>
    <font>
      <sz val="14"/>
      <name val="Calibri"/>
      <family val="2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4"/>
      <name val="Arial Black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indexed="8"/>
      <name val="Arial"/>
      <family val="2"/>
    </font>
    <font>
      <sz val="12"/>
      <color rgb="FFFF0000"/>
      <name val="Arial"/>
      <family val="2"/>
    </font>
    <font>
      <sz val="11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sz val="12"/>
      <name val="Century Gothic"/>
      <family val="2"/>
    </font>
    <font>
      <sz val="11"/>
      <name val="Century Gothic"/>
      <family val="2"/>
    </font>
    <font>
      <b/>
      <u/>
      <sz val="14"/>
      <name val="Arial"/>
      <family val="2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</font>
    <font>
      <sz val="11"/>
      <color theme="0"/>
      <name val="Calibri"/>
      <family val="2"/>
      <scheme val="minor"/>
    </font>
    <font>
      <i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8" fillId="0" borderId="0"/>
    <xf numFmtId="0" fontId="3" fillId="0" borderId="0"/>
  </cellStyleXfs>
  <cellXfs count="6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0" xfId="0" applyFont="1"/>
    <xf numFmtId="1" fontId="6" fillId="0" borderId="4" xfId="0" applyNumberFormat="1" applyFont="1" applyBorder="1"/>
    <xf numFmtId="1" fontId="6" fillId="0" borderId="5" xfId="0" applyNumberFormat="1" applyFont="1" applyBorder="1"/>
    <xf numFmtId="0" fontId="6" fillId="0" borderId="6" xfId="0" applyFont="1" applyBorder="1"/>
    <xf numFmtId="0" fontId="7" fillId="0" borderId="7" xfId="0" applyFont="1" applyBorder="1"/>
    <xf numFmtId="0" fontId="6" fillId="0" borderId="0" xfId="0" applyFont="1" applyBorder="1"/>
    <xf numFmtId="0" fontId="6" fillId="0" borderId="8" xfId="0" applyFont="1" applyBorder="1"/>
    <xf numFmtId="0" fontId="6" fillId="0" borderId="7" xfId="0" applyFont="1" applyBorder="1"/>
    <xf numFmtId="1" fontId="6" fillId="0" borderId="8" xfId="0" applyNumberFormat="1" applyFont="1" applyBorder="1"/>
    <xf numFmtId="1" fontId="8" fillId="2" borderId="8" xfId="0" applyNumberFormat="1" applyFont="1" applyFill="1" applyBorder="1"/>
    <xf numFmtId="1" fontId="6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0" xfId="0" applyNumberFormat="1" applyBorder="1"/>
    <xf numFmtId="0" fontId="0" fillId="0" borderId="1" xfId="0" applyFill="1" applyBorder="1" applyAlignment="1">
      <alignment horizontal="left"/>
    </xf>
    <xf numFmtId="17" fontId="0" fillId="0" borderId="0" xfId="0" quotePrefix="1" applyNumberFormat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9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164" fontId="10" fillId="0" borderId="0" xfId="1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Border="1" applyAlignment="1">
      <alignment horizontal="left"/>
    </xf>
    <xf numFmtId="1" fontId="0" fillId="0" borderId="11" xfId="0" applyNumberFormat="1" applyBorder="1"/>
    <xf numFmtId="1" fontId="0" fillId="0" borderId="14" xfId="0" applyNumberFormat="1" applyBorder="1"/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0" fillId="0" borderId="0" xfId="0" applyBorder="1"/>
    <xf numFmtId="0" fontId="0" fillId="3" borderId="15" xfId="0" applyFill="1" applyBorder="1"/>
    <xf numFmtId="0" fontId="0" fillId="3" borderId="16" xfId="0" applyFill="1" applyBorder="1"/>
    <xf numFmtId="0" fontId="0" fillId="0" borderId="18" xfId="0" applyBorder="1"/>
    <xf numFmtId="0" fontId="14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17" fontId="5" fillId="0" borderId="0" xfId="0" quotePrefix="1" applyNumberFormat="1" applyFont="1" applyFill="1"/>
    <xf numFmtId="164" fontId="5" fillId="0" borderId="0" xfId="0" applyNumberFormat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/>
    <xf numFmtId="1" fontId="5" fillId="0" borderId="11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3" xfId="0" applyFont="1" applyFill="1" applyBorder="1" applyAlignment="1">
      <alignment horizontal="left"/>
    </xf>
    <xf numFmtId="1" fontId="5" fillId="0" borderId="14" xfId="0" applyNumberFormat="1" applyFont="1" applyFill="1" applyBorder="1"/>
    <xf numFmtId="0" fontId="5" fillId="0" borderId="14" xfId="0" applyFont="1" applyFill="1" applyBorder="1"/>
    <xf numFmtId="0" fontId="5" fillId="0" borderId="0" xfId="0" applyFont="1" applyFill="1" applyAlignment="1">
      <alignment horizontal="left"/>
    </xf>
    <xf numFmtId="0" fontId="8" fillId="0" borderId="8" xfId="0" applyFont="1" applyFill="1" applyBorder="1"/>
    <xf numFmtId="1" fontId="8" fillId="0" borderId="8" xfId="0" applyNumberFormat="1" applyFont="1" applyFill="1" applyBorder="1"/>
    <xf numFmtId="1" fontId="0" fillId="2" borderId="20" xfId="0" applyNumberFormat="1" applyFill="1" applyBorder="1"/>
    <xf numFmtId="0" fontId="0" fillId="0" borderId="0" xfId="0" applyFill="1" applyBorder="1"/>
    <xf numFmtId="1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1" fontId="8" fillId="0" borderId="0" xfId="0" applyNumberFormat="1" applyFont="1" applyFill="1" applyBorder="1"/>
    <xf numFmtId="0" fontId="8" fillId="0" borderId="0" xfId="0" applyFont="1" applyFill="1" applyBorder="1"/>
    <xf numFmtId="1" fontId="0" fillId="0" borderId="0" xfId="0" applyNumberFormat="1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1" fontId="5" fillId="0" borderId="0" xfId="0" applyNumberFormat="1" applyFont="1" applyFill="1" applyBorder="1"/>
    <xf numFmtId="3" fontId="0" fillId="0" borderId="0" xfId="0" applyNumberFormat="1"/>
    <xf numFmtId="0" fontId="5" fillId="0" borderId="0" xfId="0" applyFont="1"/>
    <xf numFmtId="164" fontId="0" fillId="0" borderId="0" xfId="0" applyNumberFormat="1" applyFill="1"/>
    <xf numFmtId="0" fontId="5" fillId="0" borderId="0" xfId="0" applyFont="1" applyBorder="1"/>
    <xf numFmtId="1" fontId="0" fillId="0" borderId="0" xfId="0" applyNumberFormat="1"/>
    <xf numFmtId="1" fontId="0" fillId="0" borderId="10" xfId="0" applyNumberFormat="1" applyBorder="1"/>
    <xf numFmtId="1" fontId="0" fillId="0" borderId="0" xfId="0" applyNumberFormat="1" applyBorder="1"/>
    <xf numFmtId="164" fontId="0" fillId="0" borderId="0" xfId="0" applyNumberFormat="1" applyFill="1" applyBorder="1"/>
    <xf numFmtId="0" fontId="9" fillId="0" borderId="0" xfId="0" applyFont="1" applyFill="1" applyAlignment="1">
      <alignment horizontal="left"/>
    </xf>
    <xf numFmtId="0" fontId="16" fillId="0" borderId="0" xfId="0" applyFont="1"/>
    <xf numFmtId="0" fontId="19" fillId="0" borderId="0" xfId="0" applyFont="1" applyBorder="1"/>
    <xf numFmtId="164" fontId="19" fillId="0" borderId="0" xfId="0" applyNumberFormat="1" applyFont="1" applyBorder="1"/>
    <xf numFmtId="0" fontId="19" fillId="0" borderId="0" xfId="0" applyFont="1" applyBorder="1" applyAlignment="1">
      <alignment horizontal="left"/>
    </xf>
    <xf numFmtId="17" fontId="19" fillId="0" borderId="0" xfId="0" applyNumberFormat="1" applyFont="1" applyBorder="1"/>
    <xf numFmtId="17" fontId="0" fillId="0" borderId="0" xfId="0" applyNumberFormat="1" applyBorder="1"/>
    <xf numFmtId="164" fontId="5" fillId="0" borderId="0" xfId="0" applyNumberFormat="1" applyFont="1" applyFill="1"/>
    <xf numFmtId="164" fontId="19" fillId="0" borderId="0" xfId="0" applyNumberFormat="1" applyFont="1" applyBorder="1" applyAlignment="1">
      <alignment horizontal="left"/>
    </xf>
    <xf numFmtId="17" fontId="19" fillId="0" borderId="0" xfId="0" applyNumberFormat="1" applyFon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3" fontId="19" fillId="0" borderId="1" xfId="0" applyNumberFormat="1" applyFont="1" applyBorder="1"/>
    <xf numFmtId="3" fontId="12" fillId="0" borderId="0" xfId="0" applyNumberFormat="1" applyFont="1" applyFill="1" applyBorder="1" applyAlignment="1">
      <alignment vertical="center"/>
    </xf>
    <xf numFmtId="0" fontId="16" fillId="0" borderId="0" xfId="0" applyFont="1" applyBorder="1"/>
    <xf numFmtId="0" fontId="16" fillId="0" borderId="0" xfId="0" applyFont="1" applyFill="1" applyBorder="1"/>
    <xf numFmtId="3" fontId="0" fillId="6" borderId="1" xfId="0" applyNumberFormat="1" applyFill="1" applyBorder="1" applyAlignment="1">
      <alignment horizontal="center"/>
    </xf>
    <xf numFmtId="3" fontId="19" fillId="6" borderId="1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" fontId="5" fillId="0" borderId="0" xfId="0" quotePrefix="1" applyNumberFormat="1" applyFont="1" applyFill="1" applyBorder="1"/>
    <xf numFmtId="1" fontId="9" fillId="0" borderId="0" xfId="0" applyNumberFormat="1" applyFont="1" applyFill="1" applyBorder="1"/>
    <xf numFmtId="0" fontId="20" fillId="0" borderId="0" xfId="0" applyFont="1"/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/>
    <xf numFmtId="164" fontId="16" fillId="0" borderId="0" xfId="0" applyNumberFormat="1" applyFont="1" applyFill="1" applyBorder="1"/>
    <xf numFmtId="1" fontId="16" fillId="0" borderId="0" xfId="0" applyNumberFormat="1" applyFont="1" applyFill="1"/>
    <xf numFmtId="0" fontId="22" fillId="0" borderId="0" xfId="0" applyFont="1" applyBorder="1"/>
    <xf numFmtId="1" fontId="22" fillId="0" borderId="0" xfId="0" applyNumberFormat="1" applyFont="1" applyBorder="1"/>
    <xf numFmtId="0" fontId="0" fillId="0" borderId="37" xfId="0" applyBorder="1"/>
    <xf numFmtId="0" fontId="23" fillId="0" borderId="0" xfId="0" applyFont="1" applyFill="1" applyBorder="1" applyAlignment="1">
      <alignment horizontal="center"/>
    </xf>
    <xf numFmtId="0" fontId="5" fillId="10" borderId="0" xfId="0" applyFont="1" applyFill="1"/>
    <xf numFmtId="0" fontId="5" fillId="10" borderId="0" xfId="0" applyFont="1" applyFill="1" applyAlignment="1">
      <alignment horizontal="left"/>
    </xf>
    <xf numFmtId="0" fontId="0" fillId="10" borderId="0" xfId="0" applyFill="1"/>
    <xf numFmtId="0" fontId="0" fillId="10" borderId="0" xfId="0" applyFill="1" applyBorder="1"/>
    <xf numFmtId="1" fontId="6" fillId="6" borderId="0" xfId="0" applyNumberFormat="1" applyFont="1" applyFill="1" applyBorder="1"/>
    <xf numFmtId="164" fontId="21" fillId="0" borderId="1" xfId="0" applyNumberFormat="1" applyFont="1" applyFill="1" applyBorder="1" applyAlignment="1">
      <alignment vertical="center"/>
    </xf>
    <xf numFmtId="164" fontId="24" fillId="0" borderId="13" xfId="0" applyNumberFormat="1" applyFont="1" applyFill="1" applyBorder="1" applyAlignment="1">
      <alignment vertical="top"/>
    </xf>
    <xf numFmtId="164" fontId="24" fillId="0" borderId="24" xfId="0" applyNumberFormat="1" applyFont="1" applyFill="1" applyBorder="1" applyAlignment="1">
      <alignment vertical="center" wrapText="1"/>
    </xf>
    <xf numFmtId="164" fontId="24" fillId="0" borderId="22" xfId="0" applyNumberFormat="1" applyFont="1" applyFill="1" applyBorder="1"/>
    <xf numFmtId="164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Fill="1"/>
    <xf numFmtId="164" fontId="21" fillId="0" borderId="0" xfId="0" quotePrefix="1" applyNumberFormat="1" applyFont="1"/>
    <xf numFmtId="164" fontId="21" fillId="0" borderId="0" xfId="0" applyNumberFormat="1" applyFont="1"/>
    <xf numFmtId="164" fontId="21" fillId="4" borderId="0" xfId="0" applyNumberFormat="1" applyFont="1" applyFill="1"/>
    <xf numFmtId="164" fontId="21" fillId="5" borderId="0" xfId="0" applyNumberFormat="1" applyFont="1" applyFill="1"/>
    <xf numFmtId="164" fontId="21" fillId="0" borderId="0" xfId="0" applyNumberFormat="1" applyFont="1" applyFill="1" applyBorder="1"/>
    <xf numFmtId="164" fontId="24" fillId="3" borderId="36" xfId="0" applyNumberFormat="1" applyFont="1" applyFill="1" applyBorder="1" applyAlignment="1">
      <alignment horizontal="center" vertical="top"/>
    </xf>
    <xf numFmtId="164" fontId="24" fillId="3" borderId="27" xfId="0" applyNumberFormat="1" applyFont="1" applyFill="1" applyBorder="1" applyAlignment="1">
      <alignment horizontal="center" vertical="top" wrapText="1"/>
    </xf>
    <xf numFmtId="164" fontId="24" fillId="3" borderId="27" xfId="0" applyNumberFormat="1" applyFont="1" applyFill="1" applyBorder="1" applyAlignment="1">
      <alignment horizontal="center" vertical="top"/>
    </xf>
    <xf numFmtId="164" fontId="24" fillId="4" borderId="28" xfId="0" applyNumberFormat="1" applyFont="1" applyFill="1" applyBorder="1" applyAlignment="1">
      <alignment horizontal="center" vertical="top"/>
    </xf>
    <xf numFmtId="164" fontId="24" fillId="6" borderId="29" xfId="0" applyNumberFormat="1" applyFont="1" applyFill="1" applyBorder="1" applyAlignment="1">
      <alignment horizontal="center" vertical="top"/>
    </xf>
    <xf numFmtId="164" fontId="21" fillId="6" borderId="29" xfId="0" applyNumberFormat="1" applyFont="1" applyFill="1" applyBorder="1" applyAlignment="1">
      <alignment horizontal="center" vertical="top"/>
    </xf>
    <xf numFmtId="164" fontId="24" fillId="3" borderId="30" xfId="0" applyNumberFormat="1" applyFont="1" applyFill="1" applyBorder="1" applyAlignment="1">
      <alignment horizontal="center" vertical="top" wrapText="1"/>
    </xf>
    <xf numFmtId="164" fontId="24" fillId="5" borderId="30" xfId="0" applyNumberFormat="1" applyFont="1" applyFill="1" applyBorder="1" applyAlignment="1">
      <alignment horizontal="center" vertical="justify"/>
    </xf>
    <xf numFmtId="164" fontId="24" fillId="3" borderId="29" xfId="0" applyNumberFormat="1" applyFont="1" applyFill="1" applyBorder="1" applyAlignment="1">
      <alignment horizontal="center" vertical="justify"/>
    </xf>
    <xf numFmtId="164" fontId="24" fillId="3" borderId="30" xfId="0" applyNumberFormat="1" applyFont="1" applyFill="1" applyBorder="1" applyAlignment="1">
      <alignment horizontal="center" vertical="justify"/>
    </xf>
    <xf numFmtId="164" fontId="24" fillId="3" borderId="31" xfId="0" applyNumberFormat="1" applyFont="1" applyFill="1" applyBorder="1" applyAlignment="1">
      <alignment horizontal="center" vertical="justify"/>
    </xf>
    <xf numFmtId="164" fontId="21" fillId="3" borderId="0" xfId="0" applyNumberFormat="1" applyFont="1" applyFill="1"/>
    <xf numFmtId="164" fontId="24" fillId="0" borderId="0" xfId="0" applyNumberFormat="1" applyFont="1" applyFill="1" applyBorder="1" applyAlignment="1">
      <alignment horizontal="center" vertical="justify"/>
    </xf>
    <xf numFmtId="0" fontId="21" fillId="0" borderId="0" xfId="0" applyFont="1" applyFill="1" applyBorder="1"/>
    <xf numFmtId="164" fontId="24" fillId="0" borderId="0" xfId="0" applyNumberFormat="1" applyFont="1" applyFill="1" applyBorder="1" applyAlignment="1">
      <alignment horizontal="center" vertical="top"/>
    </xf>
    <xf numFmtId="164" fontId="21" fillId="0" borderId="1" xfId="0" applyNumberFormat="1" applyFont="1" applyFill="1" applyBorder="1" applyAlignment="1">
      <alignment horizontal="center"/>
    </xf>
    <xf numFmtId="164" fontId="21" fillId="0" borderId="1" xfId="1" applyNumberFormat="1" applyFont="1" applyFill="1" applyBorder="1" applyAlignment="1">
      <alignment vertical="center" wrapText="1" shrinkToFit="1"/>
    </xf>
    <xf numFmtId="164" fontId="21" fillId="4" borderId="1" xfId="0" applyNumberFormat="1" applyFont="1" applyFill="1" applyBorder="1" applyAlignment="1">
      <alignment vertical="center"/>
    </xf>
    <xf numFmtId="164" fontId="21" fillId="5" borderId="1" xfId="0" applyNumberFormat="1" applyFont="1" applyFill="1" applyBorder="1" applyAlignment="1">
      <alignment vertical="center"/>
    </xf>
    <xf numFmtId="164" fontId="21" fillId="0" borderId="1" xfId="0" applyNumberFormat="1" applyFont="1" applyBorder="1" applyAlignment="1">
      <alignment vertical="center"/>
    </xf>
    <xf numFmtId="164" fontId="24" fillId="0" borderId="12" xfId="0" applyNumberFormat="1" applyFont="1" applyFill="1" applyBorder="1" applyAlignment="1">
      <alignment vertical="top"/>
    </xf>
    <xf numFmtId="164" fontId="21" fillId="4" borderId="22" xfId="0" applyNumberFormat="1" applyFont="1" applyFill="1" applyBorder="1" applyAlignment="1">
      <alignment vertical="center"/>
    </xf>
    <xf numFmtId="164" fontId="21" fillId="0" borderId="22" xfId="0" applyNumberFormat="1" applyFont="1" applyFill="1" applyBorder="1"/>
    <xf numFmtId="164" fontId="21" fillId="0" borderId="22" xfId="0" applyNumberFormat="1" applyFont="1" applyFill="1" applyBorder="1" applyAlignment="1">
      <alignment vertical="center"/>
    </xf>
    <xf numFmtId="164" fontId="21" fillId="5" borderId="22" xfId="0" applyNumberFormat="1" applyFont="1" applyFill="1" applyBorder="1" applyAlignment="1">
      <alignment vertical="center"/>
    </xf>
    <xf numFmtId="164" fontId="21" fillId="0" borderId="32" xfId="0" applyNumberFormat="1" applyFont="1" applyFill="1" applyBorder="1" applyAlignment="1">
      <alignment vertical="center"/>
    </xf>
    <xf numFmtId="164" fontId="21" fillId="0" borderId="1" xfId="0" applyNumberFormat="1" applyFont="1" applyFill="1" applyBorder="1"/>
    <xf numFmtId="164" fontId="21" fillId="0" borderId="12" xfId="0" applyNumberFormat="1" applyFont="1" applyFill="1" applyBorder="1" applyAlignment="1">
      <alignment vertical="center"/>
    </xf>
    <xf numFmtId="164" fontId="21" fillId="5" borderId="1" xfId="0" applyNumberFormat="1" applyFont="1" applyFill="1" applyBorder="1"/>
    <xf numFmtId="164" fontId="24" fillId="0" borderId="25" xfId="0" applyNumberFormat="1" applyFont="1" applyFill="1" applyBorder="1" applyAlignment="1">
      <alignment horizontal="center"/>
    </xf>
    <xf numFmtId="164" fontId="24" fillId="0" borderId="25" xfId="1" applyNumberFormat="1" applyFont="1" applyFill="1" applyBorder="1"/>
    <xf numFmtId="164" fontId="24" fillId="4" borderId="24" xfId="0" applyNumberFormat="1" applyFont="1" applyFill="1" applyBorder="1" applyAlignment="1">
      <alignment vertical="center" wrapText="1"/>
    </xf>
    <xf numFmtId="164" fontId="24" fillId="0" borderId="25" xfId="0" applyNumberFormat="1" applyFont="1" applyFill="1" applyBorder="1"/>
    <xf numFmtId="164" fontId="24" fillId="0" borderId="0" xfId="0" applyNumberFormat="1" applyFont="1" applyFill="1" applyBorder="1"/>
    <xf numFmtId="164" fontId="24" fillId="3" borderId="0" xfId="0" applyNumberFormat="1" applyFont="1" applyFill="1"/>
    <xf numFmtId="164" fontId="24" fillId="0" borderId="1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vertical="top"/>
    </xf>
    <xf numFmtId="164" fontId="24" fillId="4" borderId="22" xfId="0" applyNumberFormat="1" applyFont="1" applyFill="1" applyBorder="1" applyAlignment="1">
      <alignment vertical="center"/>
    </xf>
    <xf numFmtId="164" fontId="24" fillId="5" borderId="22" xfId="0" applyNumberFormat="1" applyFont="1" applyFill="1" applyBorder="1"/>
    <xf numFmtId="164" fontId="24" fillId="0" borderId="22" xfId="0" applyNumberFormat="1" applyFont="1" applyFill="1" applyBorder="1" applyAlignment="1">
      <alignment vertical="center"/>
    </xf>
    <xf numFmtId="164" fontId="24" fillId="3" borderId="1" xfId="0" applyNumberFormat="1" applyFont="1" applyFill="1" applyBorder="1" applyAlignment="1">
      <alignment horizontal="center" vertical="justify"/>
    </xf>
    <xf numFmtId="164" fontId="21" fillId="0" borderId="1" xfId="0" applyNumberFormat="1" applyFont="1" applyFill="1" applyBorder="1" applyAlignment="1">
      <alignment vertical="top"/>
    </xf>
    <xf numFmtId="164" fontId="24" fillId="0" borderId="1" xfId="1" applyNumberFormat="1" applyFont="1" applyFill="1" applyBorder="1"/>
    <xf numFmtId="164" fontId="24" fillId="0" borderId="1" xfId="0" applyNumberFormat="1" applyFont="1" applyFill="1" applyBorder="1"/>
    <xf numFmtId="164" fontId="24" fillId="0" borderId="22" xfId="0" applyNumberFormat="1" applyFont="1" applyFill="1" applyBorder="1" applyAlignment="1">
      <alignment horizontal="center"/>
    </xf>
    <xf numFmtId="164" fontId="24" fillId="0" borderId="22" xfId="0" applyNumberFormat="1" applyFont="1" applyFill="1" applyBorder="1" applyAlignment="1">
      <alignment vertical="top"/>
    </xf>
    <xf numFmtId="164" fontId="24" fillId="0" borderId="34" xfId="0" applyNumberFormat="1" applyFont="1" applyFill="1" applyBorder="1"/>
    <xf numFmtId="164" fontId="24" fillId="4" borderId="34" xfId="0" applyNumberFormat="1" applyFont="1" applyFill="1" applyBorder="1" applyAlignment="1">
      <alignment vertical="center"/>
    </xf>
    <xf numFmtId="164" fontId="24" fillId="5" borderId="34" xfId="0" applyNumberFormat="1" applyFont="1" applyFill="1" applyBorder="1"/>
    <xf numFmtId="164" fontId="24" fillId="0" borderId="10" xfId="0" applyNumberFormat="1" applyFont="1" applyFill="1" applyBorder="1"/>
    <xf numFmtId="164" fontId="24" fillId="0" borderId="10" xfId="0" applyNumberFormat="1" applyFont="1" applyFill="1" applyBorder="1" applyAlignment="1">
      <alignment vertical="center"/>
    </xf>
    <xf numFmtId="164" fontId="24" fillId="3" borderId="35" xfId="0" applyNumberFormat="1" applyFont="1" applyFill="1" applyBorder="1" applyAlignment="1">
      <alignment horizontal="center" vertical="justify"/>
    </xf>
    <xf numFmtId="164" fontId="24" fillId="0" borderId="1" xfId="0" applyNumberFormat="1" applyFont="1" applyFill="1" applyBorder="1" applyAlignment="1">
      <alignment vertical="center"/>
    </xf>
    <xf numFmtId="164" fontId="21" fillId="0" borderId="25" xfId="0" applyNumberFormat="1" applyFont="1" applyFill="1" applyBorder="1" applyAlignment="1">
      <alignment horizontal="center"/>
    </xf>
    <xf numFmtId="164" fontId="24" fillId="0" borderId="25" xfId="0" applyNumberFormat="1" applyFont="1" applyFill="1" applyBorder="1" applyAlignment="1">
      <alignment vertical="center" wrapText="1"/>
    </xf>
    <xf numFmtId="164" fontId="24" fillId="4" borderId="1" xfId="0" applyNumberFormat="1" applyFont="1" applyFill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vertical="center" wrapText="1"/>
    </xf>
    <xf numFmtId="164" fontId="21" fillId="3" borderId="9" xfId="0" applyNumberFormat="1" applyFont="1" applyFill="1" applyBorder="1"/>
    <xf numFmtId="164" fontId="21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Border="1"/>
    <xf numFmtId="164" fontId="21" fillId="0" borderId="0" xfId="0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vertical="center" wrapText="1" shrinkToFit="1"/>
    </xf>
    <xf numFmtId="164" fontId="21" fillId="0" borderId="0" xfId="0" applyNumberFormat="1" applyFont="1" applyFill="1" applyBorder="1" applyAlignment="1">
      <alignment horizontal="center" vertical="center"/>
    </xf>
    <xf numFmtId="164" fontId="21" fillId="5" borderId="0" xfId="0" applyNumberFormat="1" applyFont="1" applyFill="1" applyBorder="1"/>
    <xf numFmtId="164" fontId="21" fillId="4" borderId="0" xfId="0" applyNumberFormat="1" applyFont="1" applyFill="1" applyBorder="1"/>
    <xf numFmtId="164" fontId="21" fillId="0" borderId="0" xfId="0" applyNumberFormat="1" applyFont="1" applyFill="1" applyBorder="1" applyAlignment="1">
      <alignment horizontal="right"/>
    </xf>
    <xf numFmtId="164" fontId="21" fillId="0" borderId="1" xfId="0" applyNumberFormat="1" applyFont="1" applyFill="1" applyBorder="1" applyAlignment="1">
      <alignment horizontal="center"/>
    </xf>
    <xf numFmtId="164" fontId="21" fillId="11" borderId="1" xfId="0" applyNumberFormat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 wrapText="1" shrinkToFit="1"/>
    </xf>
    <xf numFmtId="164" fontId="21" fillId="0" borderId="0" xfId="0" applyNumberFormat="1" applyFont="1" applyFill="1" applyBorder="1" applyAlignment="1">
      <alignment horizontal="left" vertical="center"/>
    </xf>
    <xf numFmtId="164" fontId="21" fillId="0" borderId="25" xfId="0" applyNumberFormat="1" applyFont="1" applyFill="1" applyBorder="1" applyAlignment="1">
      <alignment vertical="center" wrapText="1"/>
    </xf>
    <xf numFmtId="164" fontId="25" fillId="0" borderId="25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vertical="center"/>
    </xf>
    <xf numFmtId="164" fontId="25" fillId="0" borderId="1" xfId="0" applyNumberFormat="1" applyFont="1" applyFill="1" applyBorder="1" applyAlignment="1">
      <alignment vertical="center"/>
    </xf>
    <xf numFmtId="0" fontId="0" fillId="0" borderId="0" xfId="0"/>
    <xf numFmtId="0" fontId="0" fillId="0" borderId="1" xfId="0" applyBorder="1"/>
    <xf numFmtId="0" fontId="0" fillId="0" borderId="0" xfId="0" applyBorder="1"/>
    <xf numFmtId="164" fontId="21" fillId="0" borderId="1" xfId="0" applyNumberFormat="1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/>
    <xf numFmtId="164" fontId="21" fillId="0" borderId="1" xfId="1" applyNumberFormat="1" applyFont="1" applyFill="1" applyBorder="1" applyAlignment="1">
      <alignment vertical="center" wrapText="1" shrinkToFit="1"/>
    </xf>
    <xf numFmtId="164" fontId="21" fillId="4" borderId="1" xfId="0" applyNumberFormat="1" applyFont="1" applyFill="1" applyBorder="1" applyAlignment="1">
      <alignment vertical="center"/>
    </xf>
    <xf numFmtId="164" fontId="21" fillId="0" borderId="1" xfId="0" applyNumberFormat="1" applyFont="1" applyBorder="1" applyAlignment="1">
      <alignment vertical="center"/>
    </xf>
    <xf numFmtId="164" fontId="21" fillId="0" borderId="0" xfId="1" applyNumberFormat="1" applyFont="1" applyFill="1" applyBorder="1"/>
    <xf numFmtId="10" fontId="26" fillId="0" borderId="0" xfId="0" applyNumberFormat="1" applyFont="1"/>
    <xf numFmtId="164" fontId="21" fillId="12" borderId="0" xfId="0" applyNumberFormat="1" applyFont="1" applyFill="1"/>
    <xf numFmtId="164" fontId="24" fillId="12" borderId="27" xfId="0" applyNumberFormat="1" applyFont="1" applyFill="1" applyBorder="1" applyAlignment="1">
      <alignment horizontal="center" vertical="top" wrapText="1"/>
    </xf>
    <xf numFmtId="164" fontId="21" fillId="12" borderId="1" xfId="0" applyNumberFormat="1" applyFont="1" applyFill="1" applyBorder="1" applyAlignment="1">
      <alignment vertical="center"/>
    </xf>
    <xf numFmtId="164" fontId="24" fillId="12" borderId="13" xfId="0" applyNumberFormat="1" applyFont="1" applyFill="1" applyBorder="1" applyAlignment="1">
      <alignment vertical="top"/>
    </xf>
    <xf numFmtId="164" fontId="24" fillId="12" borderId="22" xfId="0" applyNumberFormat="1" applyFont="1" applyFill="1" applyBorder="1"/>
    <xf numFmtId="164" fontId="24" fillId="12" borderId="1" xfId="0" applyNumberFormat="1" applyFont="1" applyFill="1" applyBorder="1" applyAlignment="1">
      <alignment vertical="top"/>
    </xf>
    <xf numFmtId="164" fontId="24" fillId="12" borderId="22" xfId="0" applyNumberFormat="1" applyFont="1" applyFill="1" applyBorder="1" applyAlignment="1">
      <alignment vertical="top"/>
    </xf>
    <xf numFmtId="164" fontId="21" fillId="12" borderId="1" xfId="0" applyNumberFormat="1" applyFont="1" applyFill="1" applyBorder="1" applyAlignment="1">
      <alignment horizontal="center"/>
    </xf>
    <xf numFmtId="164" fontId="21" fillId="12" borderId="0" xfId="0" applyNumberFormat="1" applyFont="1" applyFill="1" applyBorder="1"/>
    <xf numFmtId="0" fontId="21" fillId="0" borderId="0" xfId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/>
    </xf>
    <xf numFmtId="0" fontId="21" fillId="0" borderId="1" xfId="1" applyFont="1" applyFill="1" applyBorder="1" applyAlignment="1">
      <alignment vertical="center" wrapText="1" shrinkToFit="1"/>
    </xf>
    <xf numFmtId="1" fontId="21" fillId="0" borderId="1" xfId="0" applyNumberFormat="1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horizontal="center"/>
    </xf>
    <xf numFmtId="164" fontId="0" fillId="0" borderId="0" xfId="0" applyNumberFormat="1"/>
    <xf numFmtId="164" fontId="20" fillId="0" borderId="1" xfId="1" applyNumberFormat="1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/>
    </xf>
    <xf numFmtId="0" fontId="23" fillId="0" borderId="1" xfId="0" applyFont="1" applyBorder="1" applyAlignment="1">
      <alignment horizontal="left"/>
    </xf>
    <xf numFmtId="164" fontId="23" fillId="0" borderId="1" xfId="0" applyNumberFormat="1" applyFont="1" applyBorder="1" applyAlignment="1">
      <alignment horizontal="left"/>
    </xf>
    <xf numFmtId="0" fontId="23" fillId="0" borderId="1" xfId="0" quotePrefix="1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8" xfId="0" applyFont="1" applyBorder="1" applyAlignment="1">
      <alignment horizontal="left"/>
    </xf>
    <xf numFmtId="1" fontId="23" fillId="0" borderId="0" xfId="0" applyNumberFormat="1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164" fontId="20" fillId="8" borderId="1" xfId="1" applyNumberFormat="1" applyFont="1" applyFill="1" applyBorder="1" applyAlignment="1">
      <alignment horizontal="left" vertical="center" wrapText="1" shrinkToFit="1"/>
    </xf>
    <xf numFmtId="164" fontId="20" fillId="0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/>
    </xf>
    <xf numFmtId="164" fontId="20" fillId="8" borderId="25" xfId="1" applyNumberFormat="1" applyFont="1" applyFill="1" applyBorder="1" applyAlignment="1">
      <alignment horizontal="left" vertical="center" wrapText="1" shrinkToFit="1"/>
    </xf>
    <xf numFmtId="17" fontId="23" fillId="9" borderId="1" xfId="0" applyNumberFormat="1" applyFont="1" applyFill="1" applyBorder="1" applyAlignment="1">
      <alignment horizontal="left"/>
    </xf>
    <xf numFmtId="164" fontId="27" fillId="3" borderId="27" xfId="0" applyNumberFormat="1" applyFont="1" applyFill="1" applyBorder="1" applyAlignment="1">
      <alignment horizontal="center" vertical="top"/>
    </xf>
    <xf numFmtId="164" fontId="21" fillId="0" borderId="25" xfId="1" applyNumberFormat="1" applyFont="1" applyFill="1" applyBorder="1" applyAlignment="1">
      <alignment vertical="center" wrapText="1" shrinkToFit="1"/>
    </xf>
    <xf numFmtId="164" fontId="25" fillId="0" borderId="22" xfId="0" applyNumberFormat="1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horizontal="center"/>
    </xf>
    <xf numFmtId="164" fontId="25" fillId="0" borderId="0" xfId="0" applyNumberFormat="1" applyFont="1" applyFill="1" applyBorder="1"/>
    <xf numFmtId="164" fontId="25" fillId="0" borderId="0" xfId="0" applyNumberFormat="1" applyFont="1" applyFill="1"/>
    <xf numFmtId="164" fontId="25" fillId="0" borderId="1" xfId="0" applyNumberFormat="1" applyFont="1" applyFill="1" applyBorder="1"/>
    <xf numFmtId="164" fontId="25" fillId="0" borderId="1" xfId="0" applyNumberFormat="1" applyFont="1" applyFill="1" applyBorder="1" applyAlignment="1">
      <alignment horizontal="right"/>
    </xf>
    <xf numFmtId="164" fontId="28" fillId="0" borderId="1" xfId="0" applyNumberFormat="1" applyFont="1" applyFill="1" applyBorder="1" applyAlignment="1">
      <alignment horizontal="center"/>
    </xf>
    <xf numFmtId="164" fontId="29" fillId="3" borderId="39" xfId="0" applyNumberFormat="1" applyFont="1" applyFill="1" applyBorder="1" applyAlignment="1">
      <alignment horizontal="center" vertical="top"/>
    </xf>
    <xf numFmtId="0" fontId="30" fillId="0" borderId="0" xfId="0" applyFont="1"/>
    <xf numFmtId="0" fontId="23" fillId="9" borderId="0" xfId="0" applyFont="1" applyFill="1" applyAlignment="1">
      <alignment horizontal="left"/>
    </xf>
    <xf numFmtId="0" fontId="0" fillId="9" borderId="0" xfId="0" applyFill="1"/>
    <xf numFmtId="164" fontId="21" fillId="0" borderId="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7" fontId="23" fillId="0" borderId="0" xfId="0" applyNumberFormat="1" applyFont="1" applyFill="1" applyBorder="1" applyAlignment="1">
      <alignment horizontal="left"/>
    </xf>
    <xf numFmtId="164" fontId="24" fillId="6" borderId="29" xfId="0" applyNumberFormat="1" applyFont="1" applyFill="1" applyBorder="1" applyAlignment="1">
      <alignment horizontal="center" vertical="top" wrapText="1"/>
    </xf>
    <xf numFmtId="164" fontId="24" fillId="0" borderId="1" xfId="1" applyNumberFormat="1" applyFont="1" applyFill="1" applyBorder="1" applyAlignment="1">
      <alignment vertical="center" wrapText="1" shrinkToFit="1"/>
    </xf>
    <xf numFmtId="164" fontId="24" fillId="0" borderId="0" xfId="0" applyNumberFormat="1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horizontal="center"/>
    </xf>
    <xf numFmtId="164" fontId="24" fillId="4" borderId="22" xfId="0" applyNumberFormat="1" applyFont="1" applyFill="1" applyBorder="1"/>
    <xf numFmtId="164" fontId="24" fillId="0" borderId="24" xfId="0" applyNumberFormat="1" applyFont="1" applyFill="1" applyBorder="1" applyAlignment="1">
      <alignment vertical="center"/>
    </xf>
    <xf numFmtId="164" fontId="24" fillId="6" borderId="24" xfId="0" applyNumberFormat="1" applyFont="1" applyFill="1" applyBorder="1" applyAlignment="1">
      <alignment vertical="center" wrapText="1"/>
    </xf>
    <xf numFmtId="0" fontId="0" fillId="0" borderId="18" xfId="0" applyFill="1" applyBorder="1"/>
    <xf numFmtId="0" fontId="3" fillId="0" borderId="0" xfId="2" applyFont="1" applyFill="1" applyAlignment="1" applyProtection="1">
      <alignment vertical="center"/>
      <protection hidden="1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 applyProtection="1">
      <alignment vertical="center"/>
      <protection hidden="1"/>
    </xf>
    <xf numFmtId="49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horizontal="center" vertical="center"/>
      <protection hidden="1"/>
    </xf>
    <xf numFmtId="0" fontId="3" fillId="0" borderId="1" xfId="2" applyFont="1" applyFill="1" applyBorder="1" applyAlignment="1" applyProtection="1">
      <alignment horizontal="center" vertical="center"/>
      <protection hidden="1"/>
    </xf>
    <xf numFmtId="0" fontId="3" fillId="0" borderId="1" xfId="2" quotePrefix="1" applyFont="1" applyFill="1" applyBorder="1" applyAlignment="1" applyProtection="1">
      <alignment horizontal="center" vertical="center"/>
      <protection locked="0"/>
    </xf>
    <xf numFmtId="0" fontId="10" fillId="0" borderId="10" xfId="2" applyFont="1" applyFill="1" applyBorder="1" applyAlignment="1" applyProtection="1">
      <alignment horizontal="center" vertical="center"/>
      <protection hidden="1"/>
    </xf>
    <xf numFmtId="0" fontId="10" fillId="0" borderId="0" xfId="2" applyFont="1" applyFill="1" applyBorder="1" applyAlignment="1" applyProtection="1">
      <alignment horizontal="center" vertical="center"/>
      <protection hidden="1"/>
    </xf>
    <xf numFmtId="0" fontId="10" fillId="0" borderId="11" xfId="2" applyFont="1" applyFill="1" applyBorder="1" applyAlignment="1" applyProtection="1">
      <alignment horizontal="center" vertical="center"/>
      <protection hidden="1"/>
    </xf>
    <xf numFmtId="0" fontId="3" fillId="0" borderId="11" xfId="2" applyFont="1" applyFill="1" applyBorder="1" applyAlignment="1" applyProtection="1">
      <alignment vertical="center"/>
      <protection hidden="1"/>
    </xf>
    <xf numFmtId="0" fontId="3" fillId="0" borderId="32" xfId="2" applyFont="1" applyFill="1" applyBorder="1" applyAlignment="1" applyProtection="1">
      <alignment vertical="center"/>
      <protection hidden="1"/>
    </xf>
    <xf numFmtId="0" fontId="3" fillId="0" borderId="33" xfId="2" applyFont="1" applyFill="1" applyBorder="1" applyAlignment="1" applyProtection="1">
      <alignment vertical="center"/>
      <protection hidden="1"/>
    </xf>
    <xf numFmtId="0" fontId="3" fillId="0" borderId="40" xfId="2" applyFont="1" applyFill="1" applyBorder="1" applyAlignment="1" applyProtection="1">
      <alignment vertical="center"/>
      <protection hidden="1"/>
    </xf>
    <xf numFmtId="0" fontId="10" fillId="0" borderId="36" xfId="2" applyFont="1" applyFill="1" applyBorder="1" applyAlignment="1" applyProtection="1">
      <alignment horizontal="center" vertical="center"/>
      <protection hidden="1"/>
    </xf>
    <xf numFmtId="0" fontId="10" fillId="0" borderId="39" xfId="2" applyFont="1" applyFill="1" applyBorder="1" applyAlignment="1" applyProtection="1">
      <alignment horizontal="center" vertical="center"/>
      <protection hidden="1"/>
    </xf>
    <xf numFmtId="0" fontId="10" fillId="0" borderId="37" xfId="2" applyFont="1" applyFill="1" applyBorder="1" applyAlignment="1" applyProtection="1">
      <alignment horizontal="center" vertical="center"/>
      <protection hidden="1"/>
    </xf>
    <xf numFmtId="0" fontId="3" fillId="0" borderId="36" xfId="2" applyFont="1" applyFill="1" applyBorder="1" applyAlignment="1" applyProtection="1">
      <alignment vertical="center"/>
      <protection hidden="1"/>
    </xf>
    <xf numFmtId="0" fontId="3" fillId="0" borderId="39" xfId="2" applyFont="1" applyFill="1" applyBorder="1" applyAlignment="1" applyProtection="1">
      <alignment vertical="center"/>
      <protection hidden="1"/>
    </xf>
    <xf numFmtId="0" fontId="3" fillId="0" borderId="37" xfId="2" applyFont="1" applyFill="1" applyBorder="1" applyAlignment="1" applyProtection="1">
      <alignment vertical="center"/>
      <protection hidden="1"/>
    </xf>
    <xf numFmtId="0" fontId="3" fillId="0" borderId="10" xfId="2" applyFont="1" applyFill="1" applyBorder="1" applyAlignment="1" applyProtection="1">
      <alignment vertical="center"/>
      <protection hidden="1"/>
    </xf>
    <xf numFmtId="0" fontId="10" fillId="0" borderId="11" xfId="2" applyFont="1" applyFill="1" applyBorder="1" applyAlignment="1" applyProtection="1">
      <alignment vertical="center"/>
      <protection hidden="1"/>
    </xf>
    <xf numFmtId="0" fontId="3" fillId="0" borderId="1" xfId="2" applyFont="1" applyFill="1" applyBorder="1" applyAlignment="1" applyProtection="1">
      <alignment vertical="center"/>
      <protection locked="0"/>
    </xf>
    <xf numFmtId="0" fontId="10" fillId="0" borderId="13" xfId="2" applyFont="1" applyFill="1" applyBorder="1" applyAlignment="1" applyProtection="1">
      <alignment vertical="center"/>
      <protection hidden="1"/>
    </xf>
    <xf numFmtId="0" fontId="3" fillId="0" borderId="13" xfId="2" applyFont="1" applyFill="1" applyBorder="1" applyAlignment="1" applyProtection="1">
      <alignment vertical="center"/>
      <protection hidden="1"/>
    </xf>
    <xf numFmtId="164" fontId="24" fillId="0" borderId="4" xfId="0" applyNumberFormat="1" applyFont="1" applyFill="1" applyBorder="1" applyAlignment="1">
      <alignment horizontal="center" vertical="top"/>
    </xf>
    <xf numFmtId="164" fontId="21" fillId="0" borderId="25" xfId="0" applyNumberFormat="1" applyFont="1" applyFill="1" applyBorder="1" applyAlignment="1">
      <alignment vertical="center"/>
    </xf>
    <xf numFmtId="164" fontId="21" fillId="5" borderId="25" xfId="0" applyNumberFormat="1" applyFont="1" applyFill="1" applyBorder="1" applyAlignment="1">
      <alignment vertical="center"/>
    </xf>
    <xf numFmtId="164" fontId="24" fillId="6" borderId="41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/>
    </xf>
    <xf numFmtId="3" fontId="0" fillId="0" borderId="0" xfId="0" applyNumberFormat="1" applyBorder="1"/>
    <xf numFmtId="0" fontId="21" fillId="0" borderId="0" xfId="1" applyFont="1" applyFill="1" applyBorder="1" applyAlignment="1">
      <alignment vertical="center" wrapText="1" shrinkToFit="1"/>
    </xf>
    <xf numFmtId="1" fontId="21" fillId="0" borderId="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right"/>
    </xf>
    <xf numFmtId="164" fontId="34" fillId="0" borderId="25" xfId="0" applyNumberFormat="1" applyFont="1" applyFill="1" applyBorder="1" applyAlignment="1">
      <alignment vertical="center"/>
    </xf>
    <xf numFmtId="164" fontId="34" fillId="12" borderId="25" xfId="0" applyNumberFormat="1" applyFont="1" applyFill="1" applyBorder="1" applyAlignment="1">
      <alignment vertical="center"/>
    </xf>
    <xf numFmtId="164" fontId="34" fillId="5" borderId="25" xfId="0" applyNumberFormat="1" applyFont="1" applyFill="1" applyBorder="1" applyAlignment="1">
      <alignment vertical="center"/>
    </xf>
    <xf numFmtId="0" fontId="32" fillId="0" borderId="4" xfId="0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3" fontId="32" fillId="0" borderId="5" xfId="0" applyNumberFormat="1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32" fillId="0" borderId="2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3" fontId="32" fillId="0" borderId="20" xfId="0" applyNumberFormat="1" applyFont="1" applyBorder="1" applyAlignment="1">
      <alignment vertical="top"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20" xfId="0" applyBorder="1"/>
    <xf numFmtId="0" fontId="0" fillId="0" borderId="4" xfId="0" applyBorder="1"/>
    <xf numFmtId="3" fontId="0" fillId="0" borderId="5" xfId="0" applyNumberFormat="1" applyBorder="1"/>
    <xf numFmtId="0" fontId="0" fillId="0" borderId="6" xfId="0" applyBorder="1"/>
    <xf numFmtId="164" fontId="0" fillId="0" borderId="20" xfId="0" applyNumberFormat="1" applyBorder="1"/>
    <xf numFmtId="17" fontId="0" fillId="0" borderId="0" xfId="0" applyNumberFormat="1" applyFill="1" applyBorder="1"/>
    <xf numFmtId="17" fontId="0" fillId="0" borderId="0" xfId="0" applyNumberFormat="1"/>
    <xf numFmtId="164" fontId="35" fillId="0" borderId="1" xfId="0" applyNumberFormat="1" applyFont="1" applyFill="1" applyBorder="1" applyAlignment="1">
      <alignment vertical="center"/>
    </xf>
    <xf numFmtId="0" fontId="23" fillId="0" borderId="0" xfId="0" applyFont="1" applyBorder="1"/>
    <xf numFmtId="164" fontId="31" fillId="0" borderId="0" xfId="1" applyNumberFormat="1" applyFont="1" applyFill="1" applyBorder="1"/>
    <xf numFmtId="164" fontId="23" fillId="0" borderId="0" xfId="0" applyNumberFormat="1" applyFont="1" applyBorder="1"/>
    <xf numFmtId="1" fontId="23" fillId="0" borderId="0" xfId="0" applyNumberFormat="1" applyFont="1" applyBorder="1"/>
    <xf numFmtId="164" fontId="24" fillId="0" borderId="0" xfId="0" applyNumberFormat="1" applyFont="1" applyFill="1" applyBorder="1" applyAlignment="1">
      <alignment vertical="center" wrapText="1"/>
    </xf>
    <xf numFmtId="0" fontId="6" fillId="13" borderId="0" xfId="0" applyFont="1" applyFill="1" applyBorder="1"/>
    <xf numFmtId="0" fontId="23" fillId="0" borderId="1" xfId="0" applyFont="1" applyFill="1" applyBorder="1" applyAlignment="1">
      <alignment horizontal="left"/>
    </xf>
    <xf numFmtId="164" fontId="23" fillId="0" borderId="1" xfId="0" applyNumberFormat="1" applyFont="1" applyFill="1" applyBorder="1" applyAlignment="1">
      <alignment horizontal="left"/>
    </xf>
    <xf numFmtId="1" fontId="23" fillId="0" borderId="1" xfId="0" applyNumberFormat="1" applyFont="1" applyFill="1" applyBorder="1" applyAlignment="1">
      <alignment horizontal="left"/>
    </xf>
    <xf numFmtId="1" fontId="0" fillId="0" borderId="1" xfId="0" applyNumberFormat="1" applyFill="1" applyBorder="1"/>
    <xf numFmtId="164" fontId="32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/>
    <xf numFmtId="164" fontId="21" fillId="0" borderId="1" xfId="0" applyNumberFormat="1" applyFont="1" applyFill="1" applyBorder="1" applyAlignment="1">
      <alignment horizontal="center"/>
    </xf>
    <xf numFmtId="164" fontId="24" fillId="0" borderId="29" xfId="0" applyNumberFormat="1" applyFont="1" applyFill="1" applyBorder="1" applyAlignment="1">
      <alignment horizontal="center" vertical="top"/>
    </xf>
    <xf numFmtId="0" fontId="0" fillId="0" borderId="1" xfId="0" quotePrefix="1" applyFill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164" fontId="39" fillId="0" borderId="25" xfId="1" applyNumberFormat="1" applyFont="1" applyFill="1" applyBorder="1"/>
    <xf numFmtId="0" fontId="40" fillId="0" borderId="0" xfId="0" applyFont="1"/>
    <xf numFmtId="164" fontId="16" fillId="0" borderId="0" xfId="0" applyNumberFormat="1" applyFont="1"/>
    <xf numFmtId="0" fontId="31" fillId="0" borderId="0" xfId="0" applyFont="1"/>
    <xf numFmtId="0" fontId="42" fillId="0" borderId="0" xfId="0" applyFont="1" applyFill="1"/>
    <xf numFmtId="0" fontId="42" fillId="0" borderId="0" xfId="0" applyFont="1"/>
    <xf numFmtId="0" fontId="31" fillId="0" borderId="0" xfId="0" applyFont="1" applyFill="1"/>
    <xf numFmtId="164" fontId="42" fillId="0" borderId="0" xfId="0" applyNumberFormat="1" applyFont="1" applyFill="1"/>
    <xf numFmtId="0" fontId="31" fillId="0" borderId="0" xfId="0" applyFont="1" applyBorder="1"/>
    <xf numFmtId="0" fontId="42" fillId="0" borderId="0" xfId="0" applyFont="1" applyBorder="1"/>
    <xf numFmtId="164" fontId="31" fillId="0" borderId="0" xfId="0" applyNumberFormat="1" applyFont="1" applyAlignment="1">
      <alignment horizontal="center"/>
    </xf>
    <xf numFmtId="164" fontId="31" fillId="0" borderId="0" xfId="0" quotePrefix="1" applyNumberFormat="1" applyFont="1" applyAlignment="1">
      <alignment horizontal="center"/>
    </xf>
    <xf numFmtId="164" fontId="42" fillId="0" borderId="0" xfId="0" quotePrefix="1" applyNumberFormat="1" applyFont="1" applyFill="1"/>
    <xf numFmtId="164" fontId="42" fillId="0" borderId="0" xfId="0" quotePrefix="1" applyNumberFormat="1" applyFont="1" applyFill="1" applyAlignment="1">
      <alignment horizontal="left"/>
    </xf>
    <xf numFmtId="10" fontId="31" fillId="7" borderId="0" xfId="0" applyNumberFormat="1" applyFont="1" applyFill="1"/>
    <xf numFmtId="164" fontId="42" fillId="0" borderId="9" xfId="0" applyNumberFormat="1" applyFont="1" applyFill="1" applyBorder="1"/>
    <xf numFmtId="0" fontId="31" fillId="3" borderId="16" xfId="0" applyFont="1" applyFill="1" applyBorder="1" applyAlignment="1">
      <alignment horizontal="center"/>
    </xf>
    <xf numFmtId="164" fontId="42" fillId="8" borderId="16" xfId="0" applyNumberFormat="1" applyFont="1" applyFill="1" applyBorder="1" applyAlignment="1">
      <alignment horizontal="center"/>
    </xf>
    <xf numFmtId="164" fontId="42" fillId="3" borderId="16" xfId="0" applyNumberFormat="1" applyFont="1" applyFill="1" applyBorder="1" applyAlignment="1">
      <alignment horizontal="center"/>
    </xf>
    <xf numFmtId="164" fontId="42" fillId="3" borderId="17" xfId="0" applyNumberFormat="1" applyFont="1" applyFill="1" applyBorder="1" applyAlignment="1">
      <alignment horizontal="center"/>
    </xf>
    <xf numFmtId="164" fontId="31" fillId="0" borderId="1" xfId="1" applyNumberFormat="1" applyFont="1" applyFill="1" applyBorder="1"/>
    <xf numFmtId="164" fontId="31" fillId="0" borderId="1" xfId="0" applyNumberFormat="1" applyFont="1" applyFill="1" applyBorder="1"/>
    <xf numFmtId="164" fontId="31" fillId="0" borderId="25" xfId="0" applyNumberFormat="1" applyFont="1" applyFill="1" applyBorder="1"/>
    <xf numFmtId="164" fontId="42" fillId="0" borderId="1" xfId="0" applyNumberFormat="1" applyFont="1" applyBorder="1"/>
    <xf numFmtId="0" fontId="42" fillId="0" borderId="1" xfId="0" applyFont="1" applyBorder="1" applyAlignment="1">
      <alignment horizontal="left"/>
    </xf>
    <xf numFmtId="164" fontId="31" fillId="0" borderId="25" xfId="1" applyNumberFormat="1" applyFont="1" applyFill="1" applyBorder="1"/>
    <xf numFmtId="0" fontId="43" fillId="0" borderId="0" xfId="0" applyFont="1" applyAlignment="1">
      <alignment horizontal="left"/>
    </xf>
    <xf numFmtId="0" fontId="42" fillId="3" borderId="16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/>
    </xf>
    <xf numFmtId="0" fontId="31" fillId="0" borderId="25" xfId="0" applyFont="1" applyFill="1" applyBorder="1" applyAlignment="1">
      <alignment horizontal="left"/>
    </xf>
    <xf numFmtId="0" fontId="42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42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Fill="1" applyBorder="1" applyAlignment="1"/>
    <xf numFmtId="0" fontId="0" fillId="0" borderId="0" xfId="0" applyFill="1" applyBorder="1" applyAlignment="1"/>
    <xf numFmtId="17" fontId="1" fillId="0" borderId="0" xfId="0" applyNumberFormat="1" applyFont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Fill="1" applyBorder="1" applyAlignment="1">
      <alignment horizontal="left"/>
    </xf>
    <xf numFmtId="1" fontId="16" fillId="0" borderId="1" xfId="0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0" fontId="0" fillId="0" borderId="0" xfId="0" quotePrefix="1" applyFill="1" applyBorder="1"/>
    <xf numFmtId="0" fontId="0" fillId="0" borderId="34" xfId="0" applyFill="1" applyBorder="1" applyAlignment="1">
      <alignment horizontal="left"/>
    </xf>
    <xf numFmtId="0" fontId="19" fillId="0" borderId="1" xfId="0" applyFont="1" applyFill="1" applyBorder="1"/>
    <xf numFmtId="0" fontId="46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/>
    <xf numFmtId="164" fontId="16" fillId="0" borderId="1" xfId="0" applyNumberFormat="1" applyFont="1" applyFill="1" applyBorder="1" applyAlignment="1">
      <alignment horizontal="center"/>
    </xf>
    <xf numFmtId="3" fontId="47" fillId="0" borderId="0" xfId="0" applyNumberFormat="1" applyFont="1"/>
    <xf numFmtId="1" fontId="16" fillId="0" borderId="43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48" fillId="0" borderId="0" xfId="0" applyNumberFormat="1" applyFont="1"/>
    <xf numFmtId="17" fontId="19" fillId="0" borderId="0" xfId="0" applyNumberFormat="1" applyFont="1" applyFill="1" applyBorder="1"/>
    <xf numFmtId="3" fontId="48" fillId="0" borderId="0" xfId="0" applyNumberFormat="1" applyFont="1" applyFill="1" applyBorder="1"/>
    <xf numFmtId="1" fontId="16" fillId="0" borderId="0" xfId="0" applyNumberFormat="1" applyFont="1" applyFill="1" applyBorder="1" applyAlignment="1">
      <alignment horizontal="center"/>
    </xf>
    <xf numFmtId="3" fontId="48" fillId="0" borderId="0" xfId="0" applyNumberFormat="1" applyFont="1" applyBorder="1"/>
    <xf numFmtId="164" fontId="0" fillId="0" borderId="0" xfId="0" applyNumberForma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31" fillId="0" borderId="43" xfId="0" applyNumberFormat="1" applyFont="1" applyFill="1" applyBorder="1"/>
    <xf numFmtId="164" fontId="25" fillId="0" borderId="1" xfId="0" applyNumberFormat="1" applyFont="1" applyFill="1" applyBorder="1" applyAlignment="1">
      <alignment horizontal="center"/>
    </xf>
    <xf numFmtId="164" fontId="21" fillId="0" borderId="42" xfId="0" applyNumberFormat="1" applyFont="1" applyFill="1" applyBorder="1" applyAlignment="1">
      <alignment vertical="center"/>
    </xf>
    <xf numFmtId="164" fontId="31" fillId="15" borderId="43" xfId="0" applyNumberFormat="1" applyFont="1" applyFill="1" applyBorder="1"/>
    <xf numFmtId="0" fontId="31" fillId="0" borderId="0" xfId="0" applyFont="1" applyAlignment="1"/>
    <xf numFmtId="0" fontId="31" fillId="3" borderId="16" xfId="0" applyFont="1" applyFill="1" applyBorder="1" applyAlignment="1"/>
    <xf numFmtId="164" fontId="31" fillId="0" borderId="1" xfId="1" applyNumberFormat="1" applyFont="1" applyFill="1" applyBorder="1" applyAlignment="1"/>
    <xf numFmtId="164" fontId="31" fillId="0" borderId="25" xfId="0" applyNumberFormat="1" applyFont="1" applyFill="1" applyBorder="1" applyAlignment="1"/>
    <xf numFmtId="164" fontId="31" fillId="0" borderId="1" xfId="0" applyNumberFormat="1" applyFont="1" applyFill="1" applyBorder="1" applyAlignment="1"/>
    <xf numFmtId="164" fontId="31" fillId="0" borderId="25" xfId="1" applyNumberFormat="1" applyFont="1" applyFill="1" applyBorder="1" applyAlignment="1">
      <alignment vertical="center" wrapText="1" shrinkToFit="1"/>
    </xf>
    <xf numFmtId="164" fontId="31" fillId="0" borderId="0" xfId="1" applyNumberFormat="1" applyFont="1" applyFill="1" applyBorder="1" applyAlignment="1"/>
    <xf numFmtId="0" fontId="31" fillId="0" borderId="0" xfId="0" applyFont="1" applyFill="1" applyAlignment="1"/>
    <xf numFmtId="0" fontId="31" fillId="0" borderId="0" xfId="0" applyFont="1" applyBorder="1" applyAlignment="1"/>
    <xf numFmtId="164" fontId="31" fillId="0" borderId="0" xfId="0" applyNumberFormat="1" applyFont="1" applyAlignment="1"/>
    <xf numFmtId="164" fontId="31" fillId="0" borderId="0" xfId="0" quotePrefix="1" applyNumberFormat="1" applyFont="1" applyAlignment="1"/>
    <xf numFmtId="164" fontId="31" fillId="0" borderId="31" xfId="0" applyNumberFormat="1" applyFont="1" applyBorder="1" applyAlignment="1"/>
    <xf numFmtId="0" fontId="5" fillId="0" borderId="0" xfId="0" applyFont="1" applyBorder="1" applyAlignment="1"/>
    <xf numFmtId="0" fontId="36" fillId="0" borderId="0" xfId="0" applyFont="1" applyBorder="1" applyAlignment="1"/>
    <xf numFmtId="164" fontId="37" fillId="0" borderId="0" xfId="0" applyNumberFormat="1" applyFont="1" applyBorder="1" applyAlignment="1"/>
    <xf numFmtId="164" fontId="20" fillId="0" borderId="0" xfId="1" applyNumberFormat="1" applyFont="1" applyFill="1" applyBorder="1" applyAlignment="1">
      <alignment vertical="center" wrapText="1" shrinkToFit="1"/>
    </xf>
    <xf numFmtId="0" fontId="23" fillId="0" borderId="0" xfId="0" applyFont="1" applyBorder="1" applyAlignment="1"/>
    <xf numFmtId="0" fontId="0" fillId="0" borderId="0" xfId="0" applyBorder="1" applyAlignment="1"/>
    <xf numFmtId="0" fontId="23" fillId="0" borderId="0" xfId="0" applyFont="1" applyFill="1" applyBorder="1" applyAlignment="1"/>
    <xf numFmtId="0" fontId="5" fillId="0" borderId="0" xfId="0" applyFont="1" applyAlignment="1"/>
    <xf numFmtId="164" fontId="5" fillId="0" borderId="0" xfId="0" applyNumberFormat="1" applyFont="1" applyFill="1" applyAlignment="1"/>
    <xf numFmtId="164" fontId="5" fillId="0" borderId="0" xfId="0" applyNumberFormat="1" applyFont="1" applyFill="1" applyBorder="1" applyAlignment="1"/>
    <xf numFmtId="164" fontId="10" fillId="0" borderId="0" xfId="1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36" fillId="0" borderId="1" xfId="0" applyFont="1" applyBorder="1" applyAlignment="1">
      <alignment horizontal="center"/>
    </xf>
    <xf numFmtId="3" fontId="0" fillId="0" borderId="1" xfId="0" applyNumberFormat="1" applyFill="1" applyBorder="1"/>
    <xf numFmtId="1" fontId="23" fillId="0" borderId="8" xfId="0" applyNumberFormat="1" applyFont="1" applyBorder="1" applyAlignment="1">
      <alignment horizontal="left"/>
    </xf>
    <xf numFmtId="1" fontId="23" fillId="0" borderId="3" xfId="0" applyNumberFormat="1" applyFont="1" applyBorder="1" applyAlignment="1">
      <alignment horizontal="left"/>
    </xf>
    <xf numFmtId="1" fontId="23" fillId="0" borderId="20" xfId="0" applyNumberFormat="1" applyFont="1" applyBorder="1" applyAlignment="1">
      <alignment horizontal="left"/>
    </xf>
    <xf numFmtId="1" fontId="23" fillId="0" borderId="0" xfId="0" applyNumberFormat="1" applyFont="1" applyFill="1" applyBorder="1" applyAlignment="1">
      <alignment horizontal="left"/>
    </xf>
    <xf numFmtId="164" fontId="21" fillId="0" borderId="14" xfId="0" applyNumberFormat="1" applyFont="1" applyFill="1" applyBorder="1" applyAlignment="1">
      <alignment vertical="top"/>
    </xf>
    <xf numFmtId="164" fontId="21" fillId="0" borderId="22" xfId="0" applyNumberFormat="1" applyFont="1" applyFill="1" applyBorder="1" applyAlignment="1">
      <alignment vertical="top"/>
    </xf>
    <xf numFmtId="164" fontId="42" fillId="0" borderId="19" xfId="0" applyNumberFormat="1" applyFont="1" applyFill="1" applyBorder="1"/>
    <xf numFmtId="0" fontId="42" fillId="0" borderId="25" xfId="0" applyFont="1" applyFill="1" applyBorder="1" applyAlignment="1">
      <alignment horizontal="left"/>
    </xf>
    <xf numFmtId="164" fontId="49" fillId="16" borderId="25" xfId="1" applyNumberFormat="1" applyFont="1" applyFill="1" applyBorder="1" applyAlignment="1"/>
    <xf numFmtId="164" fontId="49" fillId="16" borderId="25" xfId="1" applyNumberFormat="1" applyFont="1" applyFill="1" applyBorder="1"/>
    <xf numFmtId="0" fontId="0" fillId="0" borderId="0" xfId="0" applyAlignment="1">
      <alignment horizontal="right"/>
    </xf>
    <xf numFmtId="3" fontId="26" fillId="0" borderId="0" xfId="0" applyNumberFormat="1" applyFont="1"/>
    <xf numFmtId="164" fontId="26" fillId="0" borderId="0" xfId="0" applyNumberFormat="1" applyFont="1"/>
    <xf numFmtId="0" fontId="26" fillId="0" borderId="0" xfId="0" applyFont="1"/>
    <xf numFmtId="0" fontId="31" fillId="0" borderId="1" xfId="0" applyFont="1" applyFill="1" applyBorder="1" applyAlignment="1"/>
    <xf numFmtId="164" fontId="31" fillId="0" borderId="1" xfId="1" applyNumberFormat="1" applyFont="1" applyFill="1" applyBorder="1" applyAlignment="1">
      <alignment vertical="center" wrapText="1" shrinkToFit="1"/>
    </xf>
    <xf numFmtId="164" fontId="16" fillId="0" borderId="1" xfId="1" applyNumberFormat="1" applyFont="1" applyFill="1" applyBorder="1" applyAlignment="1">
      <alignment vertical="center" wrapText="1" shrinkToFit="1"/>
    </xf>
    <xf numFmtId="164" fontId="21" fillId="17" borderId="1" xfId="0" applyNumberFormat="1" applyFont="1" applyFill="1" applyBorder="1" applyAlignment="1">
      <alignment vertical="center"/>
    </xf>
    <xf numFmtId="164" fontId="34" fillId="17" borderId="25" xfId="0" applyNumberFormat="1" applyFont="1" applyFill="1" applyBorder="1" applyAlignment="1">
      <alignment vertical="center"/>
    </xf>
    <xf numFmtId="164" fontId="24" fillId="17" borderId="24" xfId="0" applyNumberFormat="1" applyFont="1" applyFill="1" applyBorder="1" applyAlignment="1">
      <alignment vertical="center" wrapText="1"/>
    </xf>
    <xf numFmtId="164" fontId="24" fillId="17" borderId="41" xfId="0" applyNumberFormat="1" applyFont="1" applyFill="1" applyBorder="1" applyAlignment="1">
      <alignment vertical="center" wrapText="1"/>
    </xf>
    <xf numFmtId="164" fontId="42" fillId="0" borderId="0" xfId="0" applyNumberFormat="1" applyFont="1"/>
    <xf numFmtId="1" fontId="32" fillId="0" borderId="6" xfId="0" applyNumberFormat="1" applyFont="1" applyBorder="1" applyAlignment="1">
      <alignment vertical="top" wrapText="1"/>
    </xf>
    <xf numFmtId="1" fontId="0" fillId="0" borderId="3" xfId="0" applyNumberFormat="1" applyBorder="1"/>
    <xf numFmtId="164" fontId="21" fillId="0" borderId="1" xfId="0" applyNumberFormat="1" applyFont="1" applyFill="1" applyBorder="1" applyAlignment="1">
      <alignment horizontal="center"/>
    </xf>
    <xf numFmtId="164" fontId="21" fillId="0" borderId="0" xfId="0" quotePrefix="1" applyNumberFormat="1" applyFont="1" applyFill="1"/>
    <xf numFmtId="164" fontId="24" fillId="14" borderId="26" xfId="0" applyNumberFormat="1" applyFont="1" applyFill="1" applyBorder="1" applyAlignment="1">
      <alignment horizontal="center" vertical="top"/>
    </xf>
    <xf numFmtId="164" fontId="24" fillId="0" borderId="27" xfId="0" applyNumberFormat="1" applyFont="1" applyFill="1" applyBorder="1" applyAlignment="1">
      <alignment horizontal="center" vertical="top" wrapText="1"/>
    </xf>
    <xf numFmtId="164" fontId="16" fillId="9" borderId="1" xfId="0" applyNumberFormat="1" applyFont="1" applyFill="1" applyBorder="1" applyAlignment="1">
      <alignment vertical="center"/>
    </xf>
    <xf numFmtId="164" fontId="46" fillId="0" borderId="1" xfId="0" applyNumberFormat="1" applyFont="1" applyFill="1" applyBorder="1" applyAlignment="1">
      <alignment vertical="center"/>
    </xf>
    <xf numFmtId="164" fontId="24" fillId="0" borderId="13" xfId="0" applyNumberFormat="1" applyFont="1" applyFill="1" applyBorder="1" applyAlignment="1">
      <alignment horizontal="center" vertical="top"/>
    </xf>
    <xf numFmtId="164" fontId="21" fillId="0" borderId="1" xfId="0" quotePrefix="1" applyNumberFormat="1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 vertical="center"/>
    </xf>
    <xf numFmtId="164" fontId="35" fillId="0" borderId="1" xfId="0" quotePrefix="1" applyNumberFormat="1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top"/>
    </xf>
    <xf numFmtId="164" fontId="24" fillId="0" borderId="22" xfId="0" applyNumberFormat="1" applyFont="1" applyFill="1" applyBorder="1" applyAlignment="1">
      <alignment horizontal="center" vertical="top"/>
    </xf>
    <xf numFmtId="164" fontId="24" fillId="0" borderId="1" xfId="0" quotePrefix="1" applyNumberFormat="1" applyFont="1" applyFill="1" applyBorder="1" applyAlignment="1">
      <alignment horizontal="center" vertical="center"/>
    </xf>
    <xf numFmtId="1" fontId="21" fillId="0" borderId="1" xfId="0" quotePrefix="1" applyNumberFormat="1" applyFont="1" applyFill="1" applyBorder="1" applyAlignment="1">
      <alignment horizontal="center" vertical="center"/>
    </xf>
    <xf numFmtId="164" fontId="24" fillId="0" borderId="25" xfId="0" applyNumberFormat="1" applyFont="1" applyFill="1" applyBorder="1" applyAlignment="1">
      <alignment horizontal="center" vertical="center" wrapText="1"/>
    </xf>
    <xf numFmtId="164" fontId="34" fillId="0" borderId="25" xfId="0" applyNumberFormat="1" applyFont="1" applyFill="1" applyBorder="1" applyAlignment="1">
      <alignment horizontal="center" vertical="center"/>
    </xf>
    <xf numFmtId="164" fontId="24" fillId="0" borderId="24" xfId="0" applyNumberFormat="1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vertical="center"/>
    </xf>
    <xf numFmtId="164" fontId="21" fillId="0" borderId="27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" fontId="9" fillId="0" borderId="13" xfId="0" applyNumberFormat="1" applyFont="1" applyFill="1" applyBorder="1" applyAlignment="1">
      <alignment horizontal="right"/>
    </xf>
    <xf numFmtId="0" fontId="5" fillId="10" borderId="0" xfId="0" applyFont="1" applyFill="1" applyAlignment="1">
      <alignment horizontal="right"/>
    </xf>
    <xf numFmtId="0" fontId="51" fillId="0" borderId="0" xfId="0" applyFont="1" applyFill="1"/>
    <xf numFmtId="0" fontId="45" fillId="0" borderId="11" xfId="0" applyFont="1" applyBorder="1" applyAlignment="1">
      <alignment horizontal="right"/>
    </xf>
    <xf numFmtId="0" fontId="51" fillId="0" borderId="11" xfId="0" applyFont="1" applyFill="1" applyBorder="1" applyAlignment="1">
      <alignment horizontal="right"/>
    </xf>
    <xf numFmtId="164" fontId="24" fillId="0" borderId="0" xfId="0" applyNumberFormat="1" applyFont="1" applyFill="1"/>
    <xf numFmtId="164" fontId="21" fillId="0" borderId="9" xfId="0" applyNumberFormat="1" applyFont="1" applyFill="1" applyBorder="1"/>
    <xf numFmtId="164" fontId="24" fillId="9" borderId="25" xfId="0" applyNumberFormat="1" applyFont="1" applyFill="1" applyBorder="1" applyAlignment="1">
      <alignment horizontal="center" vertical="center" wrapText="1"/>
    </xf>
    <xf numFmtId="164" fontId="25" fillId="0" borderId="25" xfId="1" applyNumberFormat="1" applyFont="1" applyFill="1" applyBorder="1"/>
    <xf numFmtId="0" fontId="0" fillId="0" borderId="3" xfId="0" applyBorder="1" applyAlignment="1">
      <alignment horizontal="right"/>
    </xf>
    <xf numFmtId="0" fontId="52" fillId="0" borderId="0" xfId="0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/>
    <xf numFmtId="164" fontId="53" fillId="0" borderId="25" xfId="1" applyNumberFormat="1" applyFont="1" applyFill="1" applyBorder="1"/>
    <xf numFmtId="164" fontId="50" fillId="0" borderId="0" xfId="0" applyNumberFormat="1" applyFont="1" applyBorder="1"/>
    <xf numFmtId="164" fontId="50" fillId="0" borderId="0" xfId="0" applyNumberFormat="1" applyFont="1" applyFill="1"/>
    <xf numFmtId="1" fontId="50" fillId="0" borderId="0" xfId="0" applyNumberFormat="1" applyFont="1" applyBorder="1" applyAlignment="1">
      <alignment horizontal="center"/>
    </xf>
    <xf numFmtId="164" fontId="50" fillId="0" borderId="0" xfId="0" applyNumberFormat="1" applyFont="1"/>
    <xf numFmtId="164" fontId="54" fillId="6" borderId="29" xfId="0" applyNumberFormat="1" applyFont="1" applyFill="1" applyBorder="1" applyAlignment="1">
      <alignment horizontal="center" vertical="top" wrapText="1"/>
    </xf>
    <xf numFmtId="164" fontId="27" fillId="3" borderId="25" xfId="0" applyNumberFormat="1" applyFont="1" applyFill="1" applyBorder="1" applyAlignment="1">
      <alignment horizontal="center" vertical="top"/>
    </xf>
    <xf numFmtId="164" fontId="36" fillId="0" borderId="0" xfId="0" applyNumberFormat="1" applyFont="1" applyBorder="1"/>
    <xf numFmtId="0" fontId="19" fillId="0" borderId="0" xfId="0" applyFont="1"/>
    <xf numFmtId="164" fontId="55" fillId="0" borderId="0" xfId="0" applyNumberFormat="1" applyFont="1" applyAlignment="1"/>
    <xf numFmtId="164" fontId="55" fillId="0" borderId="0" xfId="0" applyNumberFormat="1" applyFont="1" applyAlignment="1">
      <alignment horizontal="center"/>
    </xf>
    <xf numFmtId="164" fontId="55" fillId="0" borderId="0" xfId="0" applyNumberFormat="1" applyFont="1" applyFill="1"/>
    <xf numFmtId="164" fontId="55" fillId="0" borderId="0" xfId="0" quotePrefix="1" applyNumberFormat="1" applyFont="1" applyFill="1"/>
    <xf numFmtId="10" fontId="55" fillId="7" borderId="0" xfId="0" applyNumberFormat="1" applyFont="1" applyFill="1"/>
    <xf numFmtId="164" fontId="31" fillId="18" borderId="1" xfId="1" applyNumberFormat="1" applyFont="1" applyFill="1" applyBorder="1" applyAlignment="1"/>
    <xf numFmtId="164" fontId="42" fillId="18" borderId="0" xfId="0" applyNumberFormat="1" applyFont="1" applyFill="1"/>
    <xf numFmtId="10" fontId="31" fillId="18" borderId="31" xfId="0" applyNumberFormat="1" applyFont="1" applyFill="1" applyBorder="1"/>
    <xf numFmtId="164" fontId="21" fillId="0" borderId="1" xfId="0" applyNumberFormat="1" applyFont="1" applyFill="1" applyBorder="1" applyAlignment="1">
      <alignment horizontal="center"/>
    </xf>
    <xf numFmtId="0" fontId="21" fillId="0" borderId="0" xfId="0" applyFont="1" applyFill="1"/>
    <xf numFmtId="164" fontId="21" fillId="19" borderId="0" xfId="0" applyNumberFormat="1" applyFont="1" applyFill="1"/>
    <xf numFmtId="164" fontId="21" fillId="19" borderId="0" xfId="0" applyNumberFormat="1" applyFont="1" applyFill="1" applyBorder="1"/>
    <xf numFmtId="0" fontId="21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1" fontId="16" fillId="0" borderId="0" xfId="0" applyNumberFormat="1" applyFont="1" applyBorder="1" applyAlignment="1">
      <alignment horizontal="center"/>
    </xf>
    <xf numFmtId="164" fontId="21" fillId="0" borderId="27" xfId="0" applyNumberFormat="1" applyFont="1" applyFill="1" applyBorder="1" applyAlignment="1">
      <alignment horizontal="center" vertical="top"/>
    </xf>
    <xf numFmtId="164" fontId="24" fillId="0" borderId="38" xfId="0" applyNumberFormat="1" applyFont="1" applyFill="1" applyBorder="1" applyAlignment="1">
      <alignment horizontal="center" vertical="top"/>
    </xf>
    <xf numFmtId="0" fontId="21" fillId="0" borderId="25" xfId="0" applyFont="1" applyFill="1" applyBorder="1" applyAlignment="1">
      <alignment vertical="center"/>
    </xf>
    <xf numFmtId="164" fontId="24" fillId="0" borderId="41" xfId="0" applyNumberFormat="1" applyFont="1" applyFill="1" applyBorder="1" applyAlignment="1">
      <alignment vertical="center" wrapText="1"/>
    </xf>
    <xf numFmtId="0" fontId="34" fillId="0" borderId="25" xfId="0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" fontId="23" fillId="0" borderId="11" xfId="0" applyNumberFormat="1" applyFont="1" applyBorder="1" applyAlignment="1">
      <alignment horizontal="left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/>
    </xf>
    <xf numFmtId="164" fontId="21" fillId="7" borderId="1" xfId="0" applyNumberFormat="1" applyFont="1" applyFill="1" applyBorder="1" applyAlignment="1">
      <alignment vertical="center"/>
    </xf>
    <xf numFmtId="164" fontId="20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164" fontId="21" fillId="0" borderId="14" xfId="0" applyNumberFormat="1" applyFont="1" applyFill="1" applyBorder="1" applyAlignment="1">
      <alignment vertical="center"/>
    </xf>
    <xf numFmtId="164" fontId="21" fillId="0" borderId="12" xfId="1" applyNumberFormat="1" applyFont="1" applyFill="1" applyBorder="1" applyAlignment="1">
      <alignment vertical="center" wrapText="1" shrinkToFit="1"/>
    </xf>
    <xf numFmtId="0" fontId="21" fillId="0" borderId="12" xfId="1" applyFont="1" applyFill="1" applyBorder="1" applyAlignment="1">
      <alignment vertical="center" wrapText="1" shrinkToFit="1"/>
    </xf>
    <xf numFmtId="164" fontId="21" fillId="0" borderId="36" xfId="1" applyNumberFormat="1" applyFont="1" applyFill="1" applyBorder="1" applyAlignment="1">
      <alignment vertical="center" wrapText="1" shrinkToFit="1"/>
    </xf>
    <xf numFmtId="164" fontId="21" fillId="0" borderId="12" xfId="1" applyNumberFormat="1" applyFont="1" applyFill="1" applyBorder="1" applyAlignment="1">
      <alignment horizontal="left" vertical="center" wrapText="1" shrinkToFit="1"/>
    </xf>
    <xf numFmtId="164" fontId="21" fillId="0" borderId="12" xfId="0" applyNumberFormat="1" applyFont="1" applyFill="1" applyBorder="1"/>
    <xf numFmtId="164" fontId="20" fillId="0" borderId="12" xfId="1" applyNumberFormat="1" applyFont="1" applyFill="1" applyBorder="1" applyAlignment="1">
      <alignment vertical="center" wrapText="1" shrinkToFit="1"/>
    </xf>
    <xf numFmtId="164" fontId="25" fillId="0" borderId="12" xfId="1" applyNumberFormat="1" applyFont="1" applyFill="1" applyBorder="1" applyAlignment="1">
      <alignment vertical="center" wrapText="1" shrinkToFit="1"/>
    </xf>
    <xf numFmtId="0" fontId="21" fillId="0" borderId="1" xfId="0" applyFont="1" applyBorder="1" applyAlignment="1">
      <alignment horizontal="center"/>
    </xf>
    <xf numFmtId="17" fontId="21" fillId="0" borderId="1" xfId="0" applyNumberFormat="1" applyFont="1" applyBorder="1" applyAlignment="1">
      <alignment horizontal="center"/>
    </xf>
    <xf numFmtId="0" fontId="56" fillId="0" borderId="0" xfId="0" applyFont="1"/>
    <xf numFmtId="164" fontId="21" fillId="19" borderId="1" xfId="0" applyNumberFormat="1" applyFont="1" applyFill="1" applyBorder="1" applyAlignment="1">
      <alignment vertical="center"/>
    </xf>
    <xf numFmtId="0" fontId="57" fillId="0" borderId="0" xfId="0" applyFont="1" applyAlignment="1"/>
    <xf numFmtId="164" fontId="20" fillId="0" borderId="1" xfId="1" applyNumberFormat="1" applyFont="1" applyFill="1" applyBorder="1" applyAlignment="1">
      <alignment horizontal="center" vertical="center" wrapText="1" shrinkToFit="1"/>
    </xf>
    <xf numFmtId="0" fontId="20" fillId="0" borderId="1" xfId="1" applyFont="1" applyFill="1" applyBorder="1" applyAlignment="1">
      <alignment horizontal="center" vertical="center" wrapText="1" shrinkToFit="1"/>
    </xf>
    <xf numFmtId="164" fontId="58" fillId="0" borderId="1" xfId="1" applyNumberFormat="1" applyFont="1" applyFill="1" applyBorder="1" applyAlignment="1">
      <alignment horizontal="center"/>
    </xf>
    <xf numFmtId="164" fontId="34" fillId="0" borderId="1" xfId="1" applyNumberFormat="1" applyFont="1" applyFill="1" applyBorder="1" applyAlignment="1">
      <alignment horizontal="center" vertical="center" wrapText="1" shrinkToFit="1"/>
    </xf>
    <xf numFmtId="164" fontId="21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right" vertical="center"/>
    </xf>
    <xf numFmtId="164" fontId="25" fillId="0" borderId="1" xfId="1" applyNumberFormat="1" applyFont="1" applyFill="1" applyBorder="1" applyAlignment="1">
      <alignment vertical="center" wrapText="1" shrinkToFit="1"/>
    </xf>
    <xf numFmtId="164" fontId="53" fillId="0" borderId="1" xfId="1" applyNumberFormat="1" applyFont="1" applyFill="1" applyBorder="1"/>
    <xf numFmtId="164" fontId="21" fillId="0" borderId="1" xfId="0" applyNumberFormat="1" applyFont="1" applyFill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4" fontId="24" fillId="0" borderId="0" xfId="0" applyNumberFormat="1" applyFont="1" applyFill="1" applyAlignment="1">
      <alignment horizontal="center" vertical="top"/>
    </xf>
    <xf numFmtId="3" fontId="11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44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0" fillId="0" borderId="12" xfId="2" applyFont="1" applyFill="1" applyBorder="1" applyAlignment="1" applyProtection="1">
      <alignment horizontal="left" vertical="center"/>
      <protection hidden="1"/>
    </xf>
    <xf numFmtId="0" fontId="10" fillId="0" borderId="13" xfId="2" applyFont="1" applyFill="1" applyBorder="1" applyAlignment="1" applyProtection="1">
      <alignment horizontal="left" vertical="center"/>
      <protection hidden="1"/>
    </xf>
    <xf numFmtId="0" fontId="10" fillId="0" borderId="14" xfId="2" applyFont="1" applyFill="1" applyBorder="1" applyAlignment="1" applyProtection="1">
      <alignment horizontal="left" vertical="center"/>
      <protection hidden="1"/>
    </xf>
    <xf numFmtId="0" fontId="3" fillId="0" borderId="1" xfId="2" applyFont="1" applyFill="1" applyBorder="1" applyAlignment="1" applyProtection="1">
      <alignment horizontal="right" vertical="center"/>
      <protection locked="0"/>
    </xf>
    <xf numFmtId="0" fontId="10" fillId="0" borderId="39" xfId="2" applyFont="1" applyFill="1" applyBorder="1" applyAlignment="1" applyProtection="1">
      <alignment horizontal="center" vertical="center"/>
      <protection hidden="1"/>
    </xf>
    <xf numFmtId="0" fontId="10" fillId="0" borderId="12" xfId="2" quotePrefix="1" applyFont="1" applyFill="1" applyBorder="1" applyAlignment="1" applyProtection="1">
      <alignment horizontal="left" vertical="center" wrapText="1"/>
      <protection hidden="1"/>
    </xf>
    <xf numFmtId="0" fontId="10" fillId="0" borderId="13" xfId="2" quotePrefix="1" applyFont="1" applyFill="1" applyBorder="1" applyAlignment="1" applyProtection="1">
      <alignment horizontal="left" vertical="center" wrapText="1"/>
      <protection hidden="1"/>
    </xf>
    <xf numFmtId="0" fontId="3" fillId="0" borderId="12" xfId="2" applyFont="1" applyFill="1" applyBorder="1" applyAlignment="1" applyProtection="1">
      <alignment horizontal="right" vertical="center"/>
      <protection locked="0"/>
    </xf>
    <xf numFmtId="0" fontId="3" fillId="0" borderId="13" xfId="2" applyFont="1" applyFill="1" applyBorder="1" applyAlignment="1" applyProtection="1">
      <alignment horizontal="right" vertical="center"/>
      <protection locked="0"/>
    </xf>
    <xf numFmtId="0" fontId="3" fillId="0" borderId="14" xfId="2" applyFont="1" applyFill="1" applyBorder="1" applyAlignment="1" applyProtection="1">
      <alignment horizontal="right" vertical="center"/>
      <protection locked="0"/>
    </xf>
    <xf numFmtId="0" fontId="3" fillId="0" borderId="0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Alignment="1" applyProtection="1">
      <alignment horizontal="left" vertical="center"/>
      <protection locked="0"/>
    </xf>
    <xf numFmtId="0" fontId="3" fillId="0" borderId="13" xfId="2" applyFont="1" applyFill="1" applyBorder="1" applyAlignment="1" applyProtection="1">
      <alignment horizontal="left" vertical="center" wrapText="1"/>
      <protection hidden="1"/>
    </xf>
    <xf numFmtId="0" fontId="10" fillId="0" borderId="12" xfId="2" applyFont="1" applyFill="1" applyBorder="1" applyAlignment="1" applyProtection="1">
      <alignment horizontal="left" vertical="center" wrapText="1"/>
      <protection hidden="1"/>
    </xf>
    <xf numFmtId="0" fontId="10" fillId="0" borderId="13" xfId="2" applyFont="1" applyFill="1" applyBorder="1" applyAlignment="1" applyProtection="1">
      <alignment horizontal="left" vertical="center" wrapText="1"/>
      <protection hidden="1"/>
    </xf>
    <xf numFmtId="0" fontId="3" fillId="0" borderId="0" xfId="2" applyFont="1" applyFill="1" applyAlignment="1" applyProtection="1">
      <alignment horizontal="left" vertical="center"/>
      <protection hidden="1"/>
    </xf>
    <xf numFmtId="0" fontId="3" fillId="0" borderId="0" xfId="2" applyFont="1" applyFill="1" applyAlignment="1" applyProtection="1">
      <alignment horizontal="right" vertical="center"/>
      <protection hidden="1"/>
    </xf>
    <xf numFmtId="0" fontId="10" fillId="0" borderId="13" xfId="2" applyFont="1" applyFill="1" applyBorder="1" applyAlignment="1" applyProtection="1">
      <alignment horizontal="left" vertical="center"/>
      <protection locked="0"/>
    </xf>
    <xf numFmtId="0" fontId="3" fillId="0" borderId="13" xfId="2" applyFont="1" applyFill="1" applyBorder="1" applyAlignment="1" applyProtection="1">
      <alignment horizontal="left" vertical="center"/>
      <protection locked="0"/>
    </xf>
    <xf numFmtId="0" fontId="10" fillId="0" borderId="36" xfId="2" applyFont="1" applyFill="1" applyBorder="1" applyAlignment="1" applyProtection="1">
      <alignment horizontal="center" vertical="center"/>
      <protection hidden="1"/>
    </xf>
    <xf numFmtId="0" fontId="10" fillId="0" borderId="37" xfId="2" applyFont="1" applyFill="1" applyBorder="1" applyAlignment="1" applyProtection="1">
      <alignment horizontal="center" vertical="center"/>
      <protection hidden="1"/>
    </xf>
    <xf numFmtId="0" fontId="10" fillId="0" borderId="32" xfId="2" applyFont="1" applyFill="1" applyBorder="1" applyAlignment="1" applyProtection="1">
      <alignment horizontal="center" vertical="center"/>
      <protection hidden="1"/>
    </xf>
    <xf numFmtId="0" fontId="10" fillId="0" borderId="33" xfId="2" applyFont="1" applyFill="1" applyBorder="1" applyAlignment="1" applyProtection="1">
      <alignment horizontal="center" vertical="center"/>
      <protection hidden="1"/>
    </xf>
    <xf numFmtId="0" fontId="10" fillId="0" borderId="40" xfId="2" applyFont="1" applyFill="1" applyBorder="1" applyAlignment="1" applyProtection="1">
      <alignment horizontal="center" vertical="center"/>
      <protection hidden="1"/>
    </xf>
    <xf numFmtId="1" fontId="3" fillId="0" borderId="10" xfId="2" applyNumberFormat="1" applyFont="1" applyFill="1" applyBorder="1" applyAlignment="1" applyProtection="1">
      <alignment horizontal="right" vertical="center"/>
      <protection locked="0"/>
    </xf>
    <xf numFmtId="1" fontId="3" fillId="0" borderId="0" xfId="2" applyNumberFormat="1" applyFont="1" applyFill="1" applyBorder="1" applyAlignment="1" applyProtection="1">
      <alignment horizontal="right" vertical="center"/>
      <protection locked="0"/>
    </xf>
    <xf numFmtId="1" fontId="3" fillId="0" borderId="11" xfId="2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Alignment="1" applyProtection="1">
      <alignment horizontal="left" vertical="center"/>
      <protection locked="0"/>
    </xf>
    <xf numFmtId="0" fontId="10" fillId="0" borderId="10" xfId="2" applyFont="1" applyFill="1" applyBorder="1" applyAlignment="1" applyProtection="1">
      <alignment horizontal="left" vertical="center"/>
      <protection hidden="1"/>
    </xf>
    <xf numFmtId="0" fontId="10" fillId="0" borderId="0" xfId="2" applyFont="1" applyFill="1" applyBorder="1" applyAlignment="1" applyProtection="1">
      <alignment horizontal="left" vertical="center"/>
      <protection hidden="1"/>
    </xf>
    <xf numFmtId="0" fontId="3" fillId="0" borderId="11" xfId="2" applyBorder="1" applyAlignment="1" applyProtection="1">
      <alignment horizontal="left" vertical="center"/>
      <protection hidden="1"/>
    </xf>
    <xf numFmtId="2" fontId="3" fillId="0" borderId="10" xfId="2" applyNumberFormat="1" applyFont="1" applyFill="1" applyBorder="1" applyAlignment="1" applyProtection="1">
      <alignment horizontal="right" vertical="center"/>
      <protection locked="0"/>
    </xf>
    <xf numFmtId="2" fontId="3" fillId="0" borderId="0" xfId="2" applyNumberFormat="1" applyFont="1" applyFill="1" applyBorder="1" applyAlignment="1" applyProtection="1">
      <alignment horizontal="right" vertical="center"/>
      <protection locked="0"/>
    </xf>
    <xf numFmtId="2" fontId="3" fillId="0" borderId="11" xfId="2" applyNumberFormat="1" applyFont="1" applyFill="1" applyBorder="1" applyAlignment="1" applyProtection="1">
      <alignment horizontal="right" vertical="center"/>
      <protection locked="0"/>
    </xf>
    <xf numFmtId="1" fontId="10" fillId="0" borderId="10" xfId="2" applyNumberFormat="1" applyFont="1" applyFill="1" applyBorder="1" applyAlignment="1" applyProtection="1">
      <alignment horizontal="center" vertical="center"/>
      <protection hidden="1"/>
    </xf>
    <xf numFmtId="1" fontId="10" fillId="0" borderId="0" xfId="2" applyNumberFormat="1" applyFont="1" applyFill="1" applyBorder="1" applyAlignment="1" applyProtection="1">
      <alignment horizontal="center" vertical="center"/>
      <protection hidden="1"/>
    </xf>
    <xf numFmtId="1" fontId="10" fillId="0" borderId="11" xfId="2" applyNumberFormat="1" applyFont="1" applyFill="1" applyBorder="1" applyAlignment="1" applyProtection="1">
      <alignment horizontal="center" vertical="center"/>
      <protection hidden="1"/>
    </xf>
    <xf numFmtId="0" fontId="10" fillId="0" borderId="11" xfId="2" applyFont="1" applyFill="1" applyBorder="1" applyAlignment="1" applyProtection="1">
      <alignment horizontal="left" vertical="center"/>
      <protection hidden="1"/>
    </xf>
    <xf numFmtId="0" fontId="10" fillId="0" borderId="10" xfId="2" applyFont="1" applyFill="1" applyBorder="1" applyAlignment="1" applyProtection="1">
      <alignment horizontal="center" vertical="center"/>
      <protection hidden="1"/>
    </xf>
    <xf numFmtId="0" fontId="10" fillId="0" borderId="0" xfId="2" applyFont="1" applyFill="1" applyBorder="1" applyAlignment="1" applyProtection="1">
      <alignment horizontal="center" vertical="center"/>
      <protection hidden="1"/>
    </xf>
    <xf numFmtId="0" fontId="3" fillId="0" borderId="10" xfId="2" applyFont="1" applyFill="1" applyBorder="1" applyAlignment="1" applyProtection="1">
      <alignment horizontal="center" vertical="center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3" fillId="0" borderId="11" xfId="2" applyFont="1" applyFill="1" applyBorder="1" applyAlignment="1" applyProtection="1">
      <alignment horizontal="center" vertical="center"/>
      <protection hidden="1"/>
    </xf>
    <xf numFmtId="0" fontId="10" fillId="0" borderId="11" xfId="2" applyFont="1" applyFill="1" applyBorder="1" applyAlignment="1" applyProtection="1">
      <alignment horizontal="center" vertical="center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10" fillId="0" borderId="40" xfId="2" applyFont="1" applyFill="1" applyBorder="1" applyAlignment="1" applyProtection="1">
      <alignment horizontal="center" vertical="center" wrapText="1"/>
      <protection hidden="1"/>
    </xf>
    <xf numFmtId="0" fontId="10" fillId="0" borderId="36" xfId="2" applyFont="1" applyFill="1" applyBorder="1" applyAlignment="1" applyProtection="1">
      <alignment horizontal="center" vertical="center" wrapText="1"/>
      <protection hidden="1"/>
    </xf>
    <xf numFmtId="0" fontId="10" fillId="0" borderId="39" xfId="2" applyFont="1" applyFill="1" applyBorder="1" applyAlignment="1" applyProtection="1">
      <alignment horizontal="center" vertical="center" wrapText="1"/>
      <protection hidden="1"/>
    </xf>
    <xf numFmtId="0" fontId="10" fillId="0" borderId="37" xfId="2" applyFont="1" applyFill="1" applyBorder="1" applyAlignment="1" applyProtection="1">
      <alignment horizontal="center" vertical="center" wrapText="1"/>
      <protection hidden="1"/>
    </xf>
    <xf numFmtId="0" fontId="10" fillId="0" borderId="10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1" xfId="2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Fill="1" applyAlignment="1" applyProtection="1">
      <alignment horizontal="center" vertical="center"/>
      <protection hidden="1"/>
    </xf>
    <xf numFmtId="0" fontId="3" fillId="0" borderId="11" xfId="2" applyFont="1" applyFill="1" applyBorder="1" applyAlignment="1" applyProtection="1">
      <alignment horizontal="right" vertical="center"/>
      <protection hidden="1"/>
    </xf>
    <xf numFmtId="0" fontId="3" fillId="0" borderId="10" xfId="2" applyFont="1" applyFill="1" applyBorder="1" applyAlignment="1" applyProtection="1">
      <alignment horizontal="left" vertical="center"/>
      <protection locked="0"/>
    </xf>
    <xf numFmtId="0" fontId="3" fillId="0" borderId="11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 applyProtection="1">
      <alignment horizontal="right" vertical="center"/>
      <protection hidden="1"/>
    </xf>
    <xf numFmtId="0" fontId="10" fillId="0" borderId="11" xfId="2" applyFont="1" applyFill="1" applyBorder="1" applyAlignment="1" applyProtection="1">
      <alignment horizontal="right" vertical="center"/>
      <protection hidden="1"/>
    </xf>
    <xf numFmtId="0" fontId="3" fillId="0" borderId="0" xfId="2" applyFont="1" applyFill="1" applyBorder="1" applyAlignment="1" applyProtection="1">
      <alignment horizontal="right" vertical="center"/>
      <protection hidden="1"/>
    </xf>
    <xf numFmtId="0" fontId="3" fillId="0" borderId="0" xfId="2" applyFont="1" applyAlignment="1" applyProtection="1">
      <alignment horizontal="center" vertical="center"/>
      <protection hidden="1"/>
    </xf>
    <xf numFmtId="0" fontId="29" fillId="0" borderId="0" xfId="2" applyFont="1" applyFill="1" applyAlignment="1" applyProtection="1">
      <alignment horizontal="center" vertical="center"/>
      <protection hidden="1"/>
    </xf>
    <xf numFmtId="0" fontId="31" fillId="0" borderId="0" xfId="2" applyFont="1" applyAlignment="1" applyProtection="1">
      <alignment horizontal="center" vertical="center"/>
      <protection hidden="1"/>
    </xf>
    <xf numFmtId="0" fontId="29" fillId="0" borderId="10" xfId="2" applyFont="1" applyFill="1" applyBorder="1" applyAlignment="1" applyProtection="1">
      <alignment horizontal="center" vertical="center"/>
      <protection hidden="1"/>
    </xf>
    <xf numFmtId="0" fontId="29" fillId="0" borderId="0" xfId="2" applyFont="1" applyFill="1" applyBorder="1" applyAlignment="1" applyProtection="1">
      <alignment horizontal="center" vertical="center"/>
      <protection hidden="1"/>
    </xf>
    <xf numFmtId="0" fontId="4" fillId="0" borderId="0" xfId="2" applyFont="1" applyFill="1" applyAlignment="1" applyProtection="1">
      <alignment horizontal="left" vertical="center"/>
      <protection hidden="1"/>
    </xf>
    <xf numFmtId="0" fontId="10" fillId="0" borderId="36" xfId="2" applyFont="1" applyFill="1" applyBorder="1" applyAlignment="1" applyProtection="1">
      <alignment horizontal="left" vertical="center"/>
      <protection hidden="1"/>
    </xf>
    <xf numFmtId="0" fontId="10" fillId="0" borderId="39" xfId="2" applyFont="1" applyFill="1" applyBorder="1" applyAlignment="1" applyProtection="1">
      <alignment horizontal="left" vertical="center"/>
      <protection hidden="1"/>
    </xf>
    <xf numFmtId="0" fontId="10" fillId="0" borderId="37" xfId="2" applyFont="1" applyFill="1" applyBorder="1" applyAlignment="1" applyProtection="1">
      <alignment horizontal="left" vertical="center"/>
      <protection hidden="1"/>
    </xf>
    <xf numFmtId="0" fontId="3" fillId="0" borderId="32" xfId="2" applyFont="1" applyFill="1" applyBorder="1" applyAlignment="1" applyProtection="1">
      <alignment horizontal="left" vertical="center"/>
      <protection locked="0"/>
    </xf>
    <xf numFmtId="0" fontId="3" fillId="0" borderId="33" xfId="2" applyFont="1" applyFill="1" applyBorder="1" applyAlignment="1" applyProtection="1">
      <alignment horizontal="left" vertical="center"/>
      <protection locked="0"/>
    </xf>
    <xf numFmtId="0" fontId="3" fillId="0" borderId="40" xfId="2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2" xfId="2"/>
    <cellStyle name="Normal 3" xfId="3"/>
    <cellStyle name="Normal 4" xfId="4"/>
    <cellStyle name="Normal_Auto Tax Calculator 2007-08-09 Version 2 &amp;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28575</xdr:rowOff>
    </xdr:from>
    <xdr:to>
      <xdr:col>3</xdr:col>
      <xdr:colOff>104775</xdr:colOff>
      <xdr:row>4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790575" cy="819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2023/feb%20sal/feb%20main/dec22/aug/augtJU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ly2023/feb%20sal/feb%20main/dec22/sal%20aug22%20CIH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"/>
      <sheetName val="Reco"/>
      <sheetName val="NEW EPF SHEET"/>
      <sheetName val="BAdvice"/>
      <sheetName val="12 A"/>
      <sheetName val="SALARY SLIPS"/>
      <sheetName val="slip II"/>
      <sheetName val="GI"/>
      <sheetName val="DECL 26 6"/>
      <sheetName val="GRATU"/>
      <sheetName val="3slips my"/>
      <sheetName val="Sheet1"/>
      <sheetName val="Sheet2"/>
    </sheetNames>
    <sheetDataSet>
      <sheetData sheetId="0" refreshError="1">
        <row r="41">
          <cell r="B41" t="str">
            <v xml:space="preserve">SANDEEP  KHAPRA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dvice"/>
      <sheetName val="Sheet1"/>
      <sheetName val="Sheet2"/>
      <sheetName val="Sheet3"/>
    </sheetNames>
    <sheetDataSet>
      <sheetData sheetId="0">
        <row r="10">
          <cell r="C10">
            <v>44774</v>
          </cell>
        </row>
        <row r="13">
          <cell r="C13">
            <v>10012644143</v>
          </cell>
        </row>
        <row r="14">
          <cell r="C14">
            <v>10012644110</v>
          </cell>
        </row>
        <row r="15">
          <cell r="C15">
            <v>20004235521</v>
          </cell>
        </row>
        <row r="16">
          <cell r="C16">
            <v>10012667228</v>
          </cell>
        </row>
        <row r="17">
          <cell r="C17">
            <v>30001550494</v>
          </cell>
        </row>
        <row r="18">
          <cell r="C18">
            <v>20004235713</v>
          </cell>
        </row>
        <row r="19">
          <cell r="C19">
            <v>20010323317</v>
          </cell>
        </row>
        <row r="20">
          <cell r="C20">
            <v>10012667079</v>
          </cell>
        </row>
        <row r="21">
          <cell r="C21">
            <v>20023356509</v>
          </cell>
        </row>
        <row r="22">
          <cell r="C22">
            <v>10012667159</v>
          </cell>
        </row>
        <row r="23">
          <cell r="C23">
            <v>10012667182</v>
          </cell>
        </row>
        <row r="54">
          <cell r="C54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T99"/>
  <sheetViews>
    <sheetView topLeftCell="A4" zoomScale="55" zoomScaleNormal="55" workbookViewId="0">
      <pane xSplit="2" ySplit="2" topLeftCell="C33" activePane="bottomRight" state="frozen"/>
      <selection activeCell="A4" sqref="A4"/>
      <selection pane="topRight" activeCell="C4" sqref="C4"/>
      <selection pane="bottomLeft" activeCell="A6" sqref="A6"/>
      <selection pane="bottomRight" activeCell="N5" sqref="N1:N1048576"/>
    </sheetView>
  </sheetViews>
  <sheetFormatPr defaultColWidth="9" defaultRowHeight="18.75"/>
  <cols>
    <col min="1" max="1" width="7" style="136" customWidth="1"/>
    <col min="2" max="2" width="32.28515625" style="137" customWidth="1"/>
    <col min="3" max="3" width="14.42578125" style="137" bestFit="1" customWidth="1"/>
    <col min="4" max="4" width="10.28515625" style="136" customWidth="1"/>
    <col min="5" max="5" width="14.42578125" style="136" bestFit="1" customWidth="1"/>
    <col min="6" max="6" width="6.85546875" style="139" customWidth="1"/>
    <col min="7" max="7" width="13.85546875" style="231" bestFit="1" customWidth="1"/>
    <col min="8" max="8" width="13.28515625" style="137" customWidth="1"/>
    <col min="9" max="9" width="12.85546875" style="139" customWidth="1"/>
    <col min="10" max="10" width="11.140625" style="139" customWidth="1"/>
    <col min="11" max="11" width="12.5703125" style="139" customWidth="1"/>
    <col min="12" max="12" width="8.85546875" style="139" hidden="1" customWidth="1"/>
    <col min="13" max="13" width="9.85546875" style="139" hidden="1" customWidth="1"/>
    <col min="14" max="14" width="15.140625" style="140" customWidth="1"/>
    <col min="15" max="15" width="13.85546875" style="139" customWidth="1"/>
    <col min="16" max="16" width="13.85546875" style="556" customWidth="1"/>
    <col min="17" max="17" width="7.5703125" style="137" customWidth="1"/>
    <col min="18" max="18" width="9.42578125" style="139" customWidth="1"/>
    <col min="19" max="19" width="10.5703125" style="139" hidden="1" customWidth="1"/>
    <col min="20" max="20" width="14.28515625" style="139" customWidth="1"/>
    <col min="21" max="21" width="11.7109375" style="139" customWidth="1"/>
    <col min="22" max="22" width="11.140625" style="139" hidden="1" customWidth="1"/>
    <col min="23" max="23" width="5.7109375" style="141" hidden="1" customWidth="1"/>
    <col min="24" max="25" width="16.28515625" style="139" customWidth="1"/>
    <col min="26" max="26" width="15.85546875" style="139" customWidth="1"/>
    <col min="27" max="28" width="7.42578125" style="139" customWidth="1"/>
    <col min="29" max="29" width="10.5703125" style="137" customWidth="1"/>
    <col min="30" max="30" width="10.5703125" style="225" hidden="1" customWidth="1"/>
    <col min="31" max="31" width="0" style="225" hidden="1" customWidth="1"/>
    <col min="32" max="32" width="10.5703125" style="225" hidden="1" customWidth="1"/>
    <col min="33" max="33" width="7.42578125" style="225" hidden="1" customWidth="1"/>
    <col min="34" max="34" width="0" style="225" hidden="1" customWidth="1"/>
    <col min="35" max="35" width="13.85546875" style="225" bestFit="1" customWidth="1"/>
    <col min="36" max="36" width="13.140625" style="137" bestFit="1" customWidth="1"/>
    <col min="37" max="98" width="9" style="137"/>
    <col min="99" max="16384" width="9" style="139"/>
  </cols>
  <sheetData>
    <row r="2" spans="1:98">
      <c r="C2" s="490" t="s">
        <v>10</v>
      </c>
      <c r="O2" s="138"/>
    </row>
    <row r="4" spans="1:98" ht="32.1" customHeight="1" thickBot="1">
      <c r="A4" s="598" t="s">
        <v>311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8"/>
      <c r="Z4" s="598"/>
      <c r="AA4" s="157"/>
      <c r="AB4" s="157"/>
      <c r="AC4" s="225"/>
    </row>
    <row r="5" spans="1:98" s="154" customFormat="1" ht="57.75" customHeight="1" thickBot="1">
      <c r="A5" s="543" t="s">
        <v>14</v>
      </c>
      <c r="B5" s="143" t="s">
        <v>15</v>
      </c>
      <c r="C5" s="491" t="s">
        <v>99</v>
      </c>
      <c r="D5" s="144" t="s">
        <v>276</v>
      </c>
      <c r="E5" s="512" t="s">
        <v>289</v>
      </c>
      <c r="F5" s="144" t="s">
        <v>118</v>
      </c>
      <c r="G5" s="232" t="s">
        <v>280</v>
      </c>
      <c r="H5" s="561" t="s">
        <v>302</v>
      </c>
      <c r="I5" s="145" t="s">
        <v>282</v>
      </c>
      <c r="J5" s="145" t="s">
        <v>20</v>
      </c>
      <c r="K5" s="492" t="s">
        <v>275</v>
      </c>
      <c r="L5" s="144"/>
      <c r="M5" s="144" t="s">
        <v>109</v>
      </c>
      <c r="N5" s="146" t="s">
        <v>0</v>
      </c>
      <c r="O5" s="314" t="s">
        <v>144</v>
      </c>
      <c r="P5" s="562" t="s">
        <v>17</v>
      </c>
      <c r="Q5" s="360" t="s">
        <v>18</v>
      </c>
      <c r="R5" s="148" t="s">
        <v>13</v>
      </c>
      <c r="S5" s="280" t="s">
        <v>214</v>
      </c>
      <c r="T5" s="542" t="s">
        <v>301</v>
      </c>
      <c r="U5" s="360" t="s">
        <v>286</v>
      </c>
      <c r="V5" s="149" t="s">
        <v>111</v>
      </c>
      <c r="W5" s="150"/>
      <c r="X5" s="151" t="s">
        <v>29</v>
      </c>
      <c r="Y5" s="152" t="s">
        <v>19</v>
      </c>
      <c r="Z5" s="153" t="s">
        <v>110</v>
      </c>
      <c r="AA5" s="155"/>
      <c r="AB5" s="155"/>
      <c r="AC5" s="156"/>
      <c r="AE5" s="225"/>
      <c r="AF5" s="225"/>
      <c r="AG5" s="225"/>
      <c r="AH5" s="157"/>
      <c r="AI5" s="225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</row>
    <row r="6" spans="1:98" ht="36" customHeight="1">
      <c r="A6" s="158"/>
      <c r="B6" s="163" t="s">
        <v>305</v>
      </c>
      <c r="C6" s="131"/>
      <c r="D6" s="495"/>
      <c r="E6" s="495"/>
      <c r="F6" s="131"/>
      <c r="G6" s="234"/>
      <c r="H6" s="469"/>
      <c r="I6" s="130"/>
      <c r="J6" s="130"/>
      <c r="K6" s="130"/>
      <c r="L6" s="222"/>
      <c r="M6" s="130"/>
      <c r="N6" s="164"/>
      <c r="O6" s="165"/>
      <c r="P6" s="555"/>
      <c r="Q6" s="166"/>
      <c r="R6" s="266"/>
      <c r="S6" s="166"/>
      <c r="T6" s="166"/>
      <c r="U6" s="166"/>
      <c r="V6" s="166"/>
      <c r="W6" s="167"/>
      <c r="X6" s="168"/>
      <c r="Y6" s="168"/>
      <c r="Z6" s="162"/>
      <c r="AA6" s="134"/>
      <c r="AB6" s="134"/>
      <c r="AC6" s="225"/>
      <c r="AD6" s="156"/>
      <c r="AH6" s="229"/>
      <c r="AL6" s="555"/>
    </row>
    <row r="7" spans="1:98" ht="36" customHeight="1">
      <c r="A7" s="272">
        <v>1</v>
      </c>
      <c r="B7" s="159" t="s">
        <v>1</v>
      </c>
      <c r="C7" s="571">
        <v>130600</v>
      </c>
      <c r="D7" s="496" t="s">
        <v>281</v>
      </c>
      <c r="E7" s="496">
        <f>+C7+H7</f>
        <v>190676</v>
      </c>
      <c r="F7" s="222">
        <v>0</v>
      </c>
      <c r="G7" s="233">
        <f>+C7</f>
        <v>130600</v>
      </c>
      <c r="H7" s="222">
        <f>+G7*46%</f>
        <v>60076</v>
      </c>
      <c r="I7" s="130">
        <v>0</v>
      </c>
      <c r="J7" s="130">
        <v>1000</v>
      </c>
      <c r="K7" s="222">
        <f>(3600)+(3600*46%)</f>
        <v>5256</v>
      </c>
      <c r="L7" s="222"/>
      <c r="M7" s="130">
        <v>0</v>
      </c>
      <c r="N7" s="227">
        <f>SUM(G7:K7)</f>
        <v>196932</v>
      </c>
      <c r="O7" s="222">
        <f>(G7+H7)*12%</f>
        <v>22881.119999999999</v>
      </c>
      <c r="P7" s="558">
        <v>36000</v>
      </c>
      <c r="Q7" s="222">
        <v>60</v>
      </c>
      <c r="R7" s="222">
        <v>110</v>
      </c>
      <c r="S7" s="222">
        <v>0</v>
      </c>
      <c r="T7" s="222"/>
      <c r="U7" s="222">
        <v>0</v>
      </c>
      <c r="V7" s="130"/>
      <c r="W7" s="161"/>
      <c r="X7" s="130">
        <f>SUM(O7:U7)</f>
        <v>59051.119999999995</v>
      </c>
      <c r="Y7" s="130">
        <f>+N7-X7</f>
        <v>137880.88</v>
      </c>
      <c r="Z7" s="162"/>
      <c r="AA7" s="134"/>
      <c r="AB7" s="134"/>
      <c r="AC7" s="222"/>
      <c r="AD7" s="199"/>
      <c r="AE7" s="554"/>
      <c r="AF7" s="554"/>
      <c r="AH7" s="229"/>
    </row>
    <row r="8" spans="1:98" ht="36" customHeight="1">
      <c r="A8" s="158"/>
      <c r="B8" s="163" t="s">
        <v>270</v>
      </c>
      <c r="C8" s="131"/>
      <c r="D8" s="495"/>
      <c r="E8" s="495"/>
      <c r="F8" s="131"/>
      <c r="G8" s="234"/>
      <c r="H8" s="469"/>
      <c r="I8" s="130"/>
      <c r="J8" s="130"/>
      <c r="K8" s="130"/>
      <c r="L8" s="222"/>
      <c r="M8" s="130"/>
      <c r="N8" s="160"/>
      <c r="O8" s="169"/>
      <c r="P8" s="555"/>
      <c r="Q8" s="222"/>
      <c r="R8" s="166"/>
      <c r="S8" s="222"/>
      <c r="T8" s="222"/>
      <c r="U8" s="222"/>
      <c r="V8" s="130"/>
      <c r="W8" s="161"/>
      <c r="X8" s="222"/>
      <c r="Y8" s="170"/>
      <c r="Z8" s="228"/>
      <c r="AA8" s="134"/>
      <c r="AB8" s="134"/>
      <c r="AC8" s="225"/>
      <c r="AD8" s="199"/>
      <c r="AE8" s="554"/>
      <c r="AF8" s="554"/>
      <c r="AH8" s="229"/>
      <c r="AJ8" s="137">
        <f>135881+118849+98754+131659+97981+94501+94965+58774+89165</f>
        <v>920529</v>
      </c>
    </row>
    <row r="9" spans="1:98" ht="39.75" customHeight="1">
      <c r="A9" s="272">
        <f>+A7+1</f>
        <v>2</v>
      </c>
      <c r="B9" s="226" t="s">
        <v>112</v>
      </c>
      <c r="C9" s="346">
        <v>105600</v>
      </c>
      <c r="D9" s="498" t="s">
        <v>294</v>
      </c>
      <c r="E9" s="496">
        <f>+C9+H9</f>
        <v>154176</v>
      </c>
      <c r="F9" s="222">
        <v>0</v>
      </c>
      <c r="G9" s="233">
        <f t="shared" ref="G9:G11" si="0">+C9</f>
        <v>105600</v>
      </c>
      <c r="H9" s="222">
        <f>+G9*46%</f>
        <v>48576</v>
      </c>
      <c r="I9" s="222">
        <v>0</v>
      </c>
      <c r="J9" s="222">
        <v>1000</v>
      </c>
      <c r="K9" s="222">
        <f>(3600)+(3600*46%)</f>
        <v>5256</v>
      </c>
      <c r="L9" s="222"/>
      <c r="M9" s="222">
        <v>0</v>
      </c>
      <c r="N9" s="227">
        <f>SUM(G9:K9)</f>
        <v>160432</v>
      </c>
      <c r="O9" s="222">
        <f>(G9+H9)*12%</f>
        <v>18501.12</v>
      </c>
      <c r="P9" s="558">
        <v>15000</v>
      </c>
      <c r="Q9" s="222">
        <v>60</v>
      </c>
      <c r="R9" s="222">
        <v>110</v>
      </c>
      <c r="S9" s="222">
        <v>0</v>
      </c>
      <c r="T9" s="222"/>
      <c r="U9" s="222">
        <f>206*2</f>
        <v>412</v>
      </c>
      <c r="V9" s="222"/>
      <c r="W9" s="161"/>
      <c r="X9" s="222">
        <f>SUM(O9:U9)</f>
        <v>34083.119999999995</v>
      </c>
      <c r="Y9" s="222">
        <f t="shared" ref="Y9:Y11" si="1">+N9-X9</f>
        <v>126348.88</v>
      </c>
      <c r="Z9" s="228"/>
      <c r="AA9" s="224"/>
      <c r="AB9" s="224"/>
      <c r="AC9" s="225"/>
      <c r="AD9" s="199"/>
      <c r="AE9" s="554"/>
      <c r="AF9" s="554"/>
      <c r="AH9" s="229"/>
    </row>
    <row r="10" spans="1:98" ht="36" hidden="1" customHeight="1">
      <c r="A10" s="272"/>
      <c r="B10" s="226"/>
      <c r="C10" s="346"/>
      <c r="D10" s="497"/>
      <c r="E10" s="497"/>
      <c r="F10" s="222"/>
      <c r="G10" s="233">
        <f t="shared" si="0"/>
        <v>0</v>
      </c>
      <c r="H10" s="222"/>
      <c r="I10" s="222"/>
      <c r="J10" s="130"/>
      <c r="K10" s="130"/>
      <c r="L10" s="222"/>
      <c r="M10" s="130"/>
      <c r="N10" s="227">
        <f t="shared" ref="N10" si="2">SUM(G10:M10)</f>
        <v>0</v>
      </c>
      <c r="O10" s="222"/>
      <c r="P10" s="558"/>
      <c r="Q10" s="222"/>
      <c r="R10" s="222">
        <v>110</v>
      </c>
      <c r="S10" s="222"/>
      <c r="T10" s="222"/>
      <c r="U10" s="222"/>
      <c r="V10" s="130"/>
      <c r="W10" s="161"/>
      <c r="X10" s="222">
        <f t="shared" ref="X10" si="3">SUM(O10:W10)</f>
        <v>110</v>
      </c>
      <c r="Y10" s="222">
        <f t="shared" si="1"/>
        <v>-110</v>
      </c>
      <c r="Z10" s="228"/>
      <c r="AA10" s="134"/>
      <c r="AB10" s="134"/>
      <c r="AC10" s="225"/>
      <c r="AD10" s="199"/>
      <c r="AE10" s="554"/>
      <c r="AF10" s="554"/>
      <c r="AH10" s="229"/>
    </row>
    <row r="11" spans="1:98" ht="36" customHeight="1">
      <c r="A11" s="272">
        <v>3</v>
      </c>
      <c r="B11" s="226" t="s">
        <v>75</v>
      </c>
      <c r="C11" s="346">
        <v>84900</v>
      </c>
      <c r="D11" s="498" t="s">
        <v>295</v>
      </c>
      <c r="E11" s="496">
        <f>+C11+H11</f>
        <v>123954</v>
      </c>
      <c r="F11" s="222"/>
      <c r="G11" s="233">
        <f t="shared" si="0"/>
        <v>84900</v>
      </c>
      <c r="H11" s="222">
        <f>+G11*46%</f>
        <v>39054</v>
      </c>
      <c r="I11" s="222">
        <v>0</v>
      </c>
      <c r="J11" s="222">
        <v>1000</v>
      </c>
      <c r="K11" s="222">
        <f>(3600)+(3600*46%)</f>
        <v>5256</v>
      </c>
      <c r="L11" s="222"/>
      <c r="M11" s="130">
        <v>0</v>
      </c>
      <c r="N11" s="227">
        <f>SUM(G11:K11)</f>
        <v>130210</v>
      </c>
      <c r="O11" s="222">
        <f>(G11+H11)*12%</f>
        <v>14874.48</v>
      </c>
      <c r="P11" s="558">
        <v>10000</v>
      </c>
      <c r="Q11" s="222">
        <v>60</v>
      </c>
      <c r="R11" s="222">
        <v>110</v>
      </c>
      <c r="S11" s="222">
        <v>0</v>
      </c>
      <c r="T11" s="222"/>
      <c r="U11" s="222">
        <v>412</v>
      </c>
      <c r="V11" s="130"/>
      <c r="W11" s="161"/>
      <c r="X11" s="222">
        <f>SUM(O11:U11)</f>
        <v>25456.48</v>
      </c>
      <c r="Y11" s="222">
        <f t="shared" si="1"/>
        <v>104753.52</v>
      </c>
      <c r="Z11" s="228"/>
      <c r="AA11" s="134"/>
      <c r="AB11" s="134"/>
      <c r="AC11" s="225"/>
      <c r="AD11" s="199"/>
      <c r="AE11" s="554"/>
      <c r="AF11" s="554"/>
      <c r="AH11" s="229"/>
    </row>
    <row r="12" spans="1:98" ht="36" customHeight="1">
      <c r="A12" s="158"/>
      <c r="B12" s="163" t="s">
        <v>236</v>
      </c>
      <c r="C12" s="131"/>
      <c r="D12" s="495"/>
      <c r="E12" s="495"/>
      <c r="F12" s="131"/>
      <c r="G12" s="234"/>
      <c r="H12" s="469"/>
      <c r="I12" s="130"/>
      <c r="J12" s="130"/>
      <c r="K12" s="130"/>
      <c r="L12" s="222"/>
      <c r="M12" s="169"/>
      <c r="N12" s="160"/>
      <c r="O12" s="169"/>
      <c r="P12" s="558"/>
      <c r="Q12" s="169"/>
      <c r="R12" s="166"/>
      <c r="S12" s="169"/>
      <c r="T12" s="169"/>
      <c r="U12" s="169"/>
      <c r="V12" s="169"/>
      <c r="W12" s="171"/>
      <c r="X12" s="222"/>
      <c r="Y12" s="170"/>
      <c r="Z12" s="228"/>
      <c r="AA12" s="134"/>
      <c r="AB12" s="134"/>
      <c r="AD12" s="199"/>
      <c r="AE12" s="554"/>
      <c r="AF12" s="554"/>
      <c r="AH12" s="229"/>
    </row>
    <row r="13" spans="1:98" ht="36" customHeight="1">
      <c r="A13" s="158">
        <f>+A11+1</f>
        <v>4</v>
      </c>
      <c r="B13" s="159" t="s">
        <v>5</v>
      </c>
      <c r="C13" s="222">
        <v>114400</v>
      </c>
      <c r="D13" s="496" t="s">
        <v>296</v>
      </c>
      <c r="E13" s="496">
        <f>+C13+H13</f>
        <v>167024</v>
      </c>
      <c r="F13" s="222"/>
      <c r="G13" s="233">
        <f>+C13</f>
        <v>114400</v>
      </c>
      <c r="H13" s="222">
        <f>+G13*46%</f>
        <v>52624</v>
      </c>
      <c r="I13" s="222">
        <f>+G13*18%</f>
        <v>20592</v>
      </c>
      <c r="J13" s="222">
        <v>1000</v>
      </c>
      <c r="K13" s="222">
        <f>(3600)+(3600*46%)</f>
        <v>5256</v>
      </c>
      <c r="L13" s="222"/>
      <c r="M13" s="493"/>
      <c r="N13" s="227">
        <f>SUM(G13:K13)</f>
        <v>193872</v>
      </c>
      <c r="O13" s="222">
        <f>(G13+H13)*12%</f>
        <v>20042.88</v>
      </c>
      <c r="P13" s="558">
        <v>42000</v>
      </c>
      <c r="Q13" s="222">
        <v>60</v>
      </c>
      <c r="R13" s="222">
        <v>110</v>
      </c>
      <c r="S13" s="222">
        <v>0</v>
      </c>
      <c r="T13" s="222"/>
      <c r="U13" s="222">
        <v>0</v>
      </c>
      <c r="V13" s="130"/>
      <c r="W13" s="161"/>
      <c r="X13" s="222">
        <f>SUM(O13:U13)</f>
        <v>62212.880000000005</v>
      </c>
      <c r="Y13" s="222">
        <f>+N13-X13</f>
        <v>131659.12</v>
      </c>
      <c r="Z13" s="228"/>
      <c r="AA13" s="134"/>
      <c r="AB13" s="134"/>
      <c r="AD13" s="199"/>
      <c r="AE13" s="554"/>
      <c r="AF13" s="554"/>
      <c r="AH13" s="229"/>
    </row>
    <row r="14" spans="1:98" s="177" customFormat="1" ht="36" customHeight="1" thickBot="1">
      <c r="A14" s="172"/>
      <c r="B14" s="173"/>
      <c r="C14" s="132">
        <f>SUM(C7:C13)</f>
        <v>435500</v>
      </c>
      <c r="D14" s="499"/>
      <c r="E14" s="499"/>
      <c r="F14" s="132">
        <f t="shared" ref="F14" si="4">+F7+F9+F11+F13</f>
        <v>0</v>
      </c>
      <c r="G14" s="132">
        <f>+G7+G9+G11+G13</f>
        <v>435500</v>
      </c>
      <c r="H14" s="132">
        <f>+H7+H9+H11+H13</f>
        <v>200330</v>
      </c>
      <c r="I14" s="132">
        <f t="shared" ref="I14:M14" si="5">+I7+I9+I11+I13</f>
        <v>20592</v>
      </c>
      <c r="J14" s="132">
        <f t="shared" si="5"/>
        <v>4000</v>
      </c>
      <c r="K14" s="132">
        <f t="shared" si="5"/>
        <v>21024</v>
      </c>
      <c r="L14" s="132">
        <f t="shared" si="5"/>
        <v>0</v>
      </c>
      <c r="M14" s="132">
        <f t="shared" si="5"/>
        <v>0</v>
      </c>
      <c r="N14" s="174">
        <f>+N7+N9+N11+N13</f>
        <v>681446</v>
      </c>
      <c r="O14" s="174">
        <f>SUM(O6:O13)-1</f>
        <v>76298.600000000006</v>
      </c>
      <c r="P14" s="132">
        <f>SUM(P7:P13)</f>
        <v>103000</v>
      </c>
      <c r="Q14" s="484">
        <f t="shared" ref="Q14:V14" si="6">SUM(Q6:Q13)</f>
        <v>240</v>
      </c>
      <c r="R14" s="174">
        <f>+R7+R9+R11+R13</f>
        <v>440</v>
      </c>
      <c r="S14" s="174">
        <f t="shared" si="6"/>
        <v>0</v>
      </c>
      <c r="T14" s="174"/>
      <c r="U14" s="174">
        <f t="shared" si="6"/>
        <v>824</v>
      </c>
      <c r="V14" s="174">
        <f t="shared" si="6"/>
        <v>0</v>
      </c>
      <c r="W14" s="174"/>
      <c r="X14" s="174">
        <f>+O14+P14+Q14+R14+S14+U14+V14</f>
        <v>180802.6</v>
      </c>
      <c r="Y14" s="174">
        <f>+N14-X14</f>
        <v>500643.4</v>
      </c>
      <c r="Z14" s="175"/>
      <c r="AA14" s="176"/>
      <c r="AB14" s="134"/>
      <c r="AC14" s="225"/>
      <c r="AD14" s="169"/>
      <c r="AE14" s="186"/>
      <c r="AF14" s="169"/>
      <c r="AG14" s="176"/>
      <c r="AH14" s="229"/>
      <c r="AI14" s="176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</row>
    <row r="15" spans="1:98" s="177" customFormat="1" ht="36" customHeight="1" thickTop="1" thickBot="1">
      <c r="A15" s="178"/>
      <c r="B15" s="179" t="s">
        <v>274</v>
      </c>
      <c r="C15" s="133"/>
      <c r="D15" s="187"/>
      <c r="E15" s="187"/>
      <c r="F15" s="133"/>
      <c r="G15" s="235"/>
      <c r="H15" s="165"/>
      <c r="I15" s="133"/>
      <c r="J15" s="133"/>
      <c r="K15" s="133"/>
      <c r="L15" s="133"/>
      <c r="M15" s="133"/>
      <c r="N15" s="180"/>
      <c r="O15" s="133"/>
      <c r="P15" s="133"/>
      <c r="Q15" s="133"/>
      <c r="R15" s="133"/>
      <c r="S15" s="133"/>
      <c r="T15" s="133"/>
      <c r="U15" s="133"/>
      <c r="V15" s="133"/>
      <c r="W15" s="181"/>
      <c r="X15" s="133"/>
      <c r="Y15" s="182"/>
      <c r="Z15" s="183" t="s">
        <v>110</v>
      </c>
      <c r="AA15" s="176"/>
      <c r="AB15" s="134"/>
      <c r="AC15" s="225"/>
      <c r="AD15" s="169"/>
      <c r="AE15" s="186"/>
      <c r="AF15" s="169"/>
      <c r="AG15" s="176"/>
      <c r="AH15" s="229"/>
      <c r="AI15" s="176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</row>
    <row r="16" spans="1:98" ht="36" hidden="1" customHeight="1" thickBot="1">
      <c r="A16" s="272"/>
      <c r="B16" s="159"/>
      <c r="C16" s="222"/>
      <c r="D16" s="199"/>
      <c r="E16" s="199"/>
      <c r="F16" s="222"/>
      <c r="G16" s="233"/>
      <c r="H16" s="222"/>
      <c r="I16" s="130"/>
      <c r="J16" s="130"/>
      <c r="K16" s="130"/>
      <c r="L16" s="222">
        <v>300</v>
      </c>
      <c r="M16" s="130"/>
      <c r="N16" s="160"/>
      <c r="O16" s="315"/>
      <c r="P16" s="563"/>
      <c r="Q16" s="315"/>
      <c r="R16" s="315"/>
      <c r="S16" s="315"/>
      <c r="T16" s="315"/>
      <c r="U16" s="315"/>
      <c r="V16" s="315"/>
      <c r="W16" s="316"/>
      <c r="X16" s="315"/>
      <c r="Y16" s="315"/>
      <c r="Z16" s="162"/>
      <c r="AA16" s="134"/>
      <c r="AB16" s="134"/>
      <c r="AC16" s="225"/>
      <c r="AD16" s="169"/>
      <c r="AE16" s="169"/>
      <c r="AF16" s="169"/>
      <c r="AH16" s="229"/>
    </row>
    <row r="17" spans="1:98" ht="36" customHeight="1">
      <c r="A17" s="272">
        <f>+A13+1</f>
        <v>5</v>
      </c>
      <c r="B17" s="226" t="s">
        <v>2</v>
      </c>
      <c r="C17" s="346">
        <v>77900</v>
      </c>
      <c r="D17" s="498" t="s">
        <v>297</v>
      </c>
      <c r="E17" s="496">
        <f t="shared" ref="E17:E22" si="7">+C17+H17</f>
        <v>113734</v>
      </c>
      <c r="F17" s="222"/>
      <c r="G17" s="233">
        <f t="shared" ref="G17:G22" si="8">+C17</f>
        <v>77900</v>
      </c>
      <c r="H17" s="222">
        <f>+G17*46%</f>
        <v>35834</v>
      </c>
      <c r="I17" s="222">
        <v>0</v>
      </c>
      <c r="J17" s="222">
        <v>1000</v>
      </c>
      <c r="K17" s="222">
        <f>(3600)+(3600*46%)</f>
        <v>5256</v>
      </c>
      <c r="L17" s="222"/>
      <c r="M17" s="222">
        <v>0</v>
      </c>
      <c r="N17" s="227">
        <f t="shared" ref="N17:N22" si="9">SUM(G17:K17)</f>
        <v>119990</v>
      </c>
      <c r="O17" s="222">
        <f>(G17+H17)*12%</f>
        <v>13648.08</v>
      </c>
      <c r="P17" s="558">
        <v>2000</v>
      </c>
      <c r="Q17" s="318">
        <v>45</v>
      </c>
      <c r="R17" s="222">
        <v>110</v>
      </c>
      <c r="S17" s="318">
        <v>0</v>
      </c>
      <c r="T17" s="318"/>
      <c r="U17" s="318">
        <v>206</v>
      </c>
      <c r="V17" s="318">
        <v>0</v>
      </c>
      <c r="W17" s="161"/>
      <c r="X17" s="222">
        <f t="shared" ref="X17:X22" si="10">SUM(O17:W17)</f>
        <v>16009.08</v>
      </c>
      <c r="Y17" s="222">
        <f t="shared" ref="Y17:Y22" si="11">+N17-X17</f>
        <v>103980.92</v>
      </c>
      <c r="Z17" s="228"/>
      <c r="AA17" s="134"/>
      <c r="AB17" s="134"/>
      <c r="AC17" s="225"/>
      <c r="AD17" s="199"/>
      <c r="AE17" s="554"/>
      <c r="AF17" s="554"/>
      <c r="AH17" s="229"/>
    </row>
    <row r="18" spans="1:98" s="137" customFormat="1" ht="36" customHeight="1">
      <c r="A18" s="489">
        <f>+A17+1</f>
        <v>6</v>
      </c>
      <c r="B18" s="226" t="s">
        <v>129</v>
      </c>
      <c r="C18" s="222">
        <v>71300</v>
      </c>
      <c r="D18" s="496" t="s">
        <v>298</v>
      </c>
      <c r="E18" s="496">
        <f t="shared" si="7"/>
        <v>104098</v>
      </c>
      <c r="F18" s="222"/>
      <c r="G18" s="233">
        <f t="shared" si="8"/>
        <v>71300</v>
      </c>
      <c r="H18" s="222">
        <f>+G18*46%</f>
        <v>32798</v>
      </c>
      <c r="I18" s="222">
        <v>0</v>
      </c>
      <c r="J18" s="222">
        <v>1000</v>
      </c>
      <c r="K18" s="222">
        <f>(3600)+(3600*46%)</f>
        <v>5256</v>
      </c>
      <c r="L18" s="222"/>
      <c r="M18" s="222">
        <v>0</v>
      </c>
      <c r="N18" s="227">
        <f t="shared" si="9"/>
        <v>110354</v>
      </c>
      <c r="O18" s="222">
        <f t="shared" ref="O18:O22" si="12">(G18+H18)*12%</f>
        <v>12491.76</v>
      </c>
      <c r="P18" s="558">
        <v>2000</v>
      </c>
      <c r="Q18" s="222">
        <v>45</v>
      </c>
      <c r="R18" s="222">
        <v>110</v>
      </c>
      <c r="S18" s="222">
        <v>0</v>
      </c>
      <c r="T18" s="222"/>
      <c r="U18" s="222">
        <v>206</v>
      </c>
      <c r="V18" s="222">
        <v>0</v>
      </c>
      <c r="W18" s="161"/>
      <c r="X18" s="222">
        <f t="shared" si="10"/>
        <v>14852.76</v>
      </c>
      <c r="Y18" s="222">
        <f t="shared" si="11"/>
        <v>95501.24</v>
      </c>
      <c r="Z18" s="228"/>
      <c r="AA18" s="224"/>
      <c r="AB18" s="224"/>
      <c r="AC18" s="225"/>
      <c r="AD18" s="199"/>
      <c r="AE18" s="554"/>
      <c r="AF18" s="554"/>
      <c r="AG18" s="225"/>
      <c r="AH18" s="229"/>
      <c r="AI18" s="225"/>
    </row>
    <row r="19" spans="1:98" s="137" customFormat="1" ht="36" customHeight="1">
      <c r="A19" s="277">
        <f>+A18+1</f>
        <v>7</v>
      </c>
      <c r="B19" s="226" t="s">
        <v>143</v>
      </c>
      <c r="C19" s="222">
        <v>69200</v>
      </c>
      <c r="D19" s="496" t="s">
        <v>283</v>
      </c>
      <c r="E19" s="496">
        <f t="shared" si="7"/>
        <v>101032</v>
      </c>
      <c r="F19" s="222"/>
      <c r="G19" s="233">
        <f t="shared" si="8"/>
        <v>69200</v>
      </c>
      <c r="H19" s="222">
        <f>+G19*46%</f>
        <v>31832</v>
      </c>
      <c r="I19" s="222">
        <f>+G19*18%</f>
        <v>12456</v>
      </c>
      <c r="J19" s="222">
        <v>1000</v>
      </c>
      <c r="K19" s="222">
        <f>(3600)+(3600*46%)</f>
        <v>5256</v>
      </c>
      <c r="L19" s="222"/>
      <c r="M19" s="511"/>
      <c r="N19" s="227">
        <f t="shared" si="9"/>
        <v>119744</v>
      </c>
      <c r="O19" s="222">
        <f t="shared" si="12"/>
        <v>12123.84</v>
      </c>
      <c r="P19" s="558">
        <v>10000</v>
      </c>
      <c r="Q19" s="222">
        <v>45</v>
      </c>
      <c r="R19" s="222">
        <v>110</v>
      </c>
      <c r="S19" s="222">
        <v>0</v>
      </c>
      <c r="T19" s="222"/>
      <c r="U19" s="222">
        <v>0</v>
      </c>
      <c r="V19" s="222">
        <v>0</v>
      </c>
      <c r="W19" s="161"/>
      <c r="X19" s="222">
        <f t="shared" si="10"/>
        <v>22278.84</v>
      </c>
      <c r="Y19" s="222">
        <f t="shared" si="11"/>
        <v>97465.16</v>
      </c>
      <c r="Z19" s="228"/>
      <c r="AA19" s="134"/>
      <c r="AB19" s="134"/>
      <c r="AC19" s="225"/>
      <c r="AD19" s="199"/>
      <c r="AE19" s="554"/>
      <c r="AF19" s="554"/>
      <c r="AG19" s="225"/>
      <c r="AH19" s="229"/>
      <c r="AI19" s="225"/>
    </row>
    <row r="20" spans="1:98" s="137" customFormat="1" ht="36" hidden="1" customHeight="1">
      <c r="A20" s="158"/>
      <c r="B20" s="179"/>
      <c r="C20" s="179"/>
      <c r="D20" s="500"/>
      <c r="E20" s="496">
        <f t="shared" si="7"/>
        <v>1</v>
      </c>
      <c r="F20" s="222"/>
      <c r="G20" s="233">
        <f t="shared" si="8"/>
        <v>0</v>
      </c>
      <c r="H20" s="222">
        <f t="shared" ref="H20" si="13">+G20*189%+1</f>
        <v>1</v>
      </c>
      <c r="I20" s="130"/>
      <c r="J20" s="130"/>
      <c r="K20" s="130"/>
      <c r="L20" s="169"/>
      <c r="M20" s="169"/>
      <c r="N20" s="227">
        <f t="shared" si="9"/>
        <v>1</v>
      </c>
      <c r="O20" s="222">
        <f t="shared" si="12"/>
        <v>0.12</v>
      </c>
      <c r="P20" s="558"/>
      <c r="Q20" s="169"/>
      <c r="R20" s="222">
        <v>110</v>
      </c>
      <c r="S20" s="169"/>
      <c r="T20" s="169"/>
      <c r="U20" s="169"/>
      <c r="V20" s="169"/>
      <c r="W20" s="171"/>
      <c r="X20" s="222">
        <f t="shared" si="10"/>
        <v>110.12</v>
      </c>
      <c r="Y20" s="222">
        <f t="shared" si="11"/>
        <v>-109.12</v>
      </c>
      <c r="Z20" s="228"/>
      <c r="AA20" s="134"/>
      <c r="AB20" s="134"/>
      <c r="AC20" s="225"/>
      <c r="AD20" s="169"/>
      <c r="AE20" s="169"/>
      <c r="AF20" s="169"/>
      <c r="AG20" s="225"/>
      <c r="AH20" s="229"/>
      <c r="AI20" s="225"/>
    </row>
    <row r="21" spans="1:98" s="137" customFormat="1" ht="41.25" customHeight="1">
      <c r="A21" s="283">
        <f>+A19+1</f>
        <v>8</v>
      </c>
      <c r="B21" s="226" t="s">
        <v>146</v>
      </c>
      <c r="C21" s="222">
        <f>75000-3693</f>
        <v>71307</v>
      </c>
      <c r="D21" s="199">
        <v>0</v>
      </c>
      <c r="E21" s="496">
        <f t="shared" si="7"/>
        <v>71307</v>
      </c>
      <c r="F21" s="222">
        <v>0</v>
      </c>
      <c r="G21" s="233">
        <f t="shared" si="8"/>
        <v>71307</v>
      </c>
      <c r="H21" s="222">
        <v>0</v>
      </c>
      <c r="I21" s="222">
        <v>0</v>
      </c>
      <c r="J21" s="222">
        <v>0</v>
      </c>
      <c r="K21" s="222">
        <v>0</v>
      </c>
      <c r="L21" s="222"/>
      <c r="M21" s="494">
        <v>0</v>
      </c>
      <c r="N21" s="227">
        <f t="shared" si="9"/>
        <v>71307</v>
      </c>
      <c r="O21" s="222">
        <f t="shared" si="12"/>
        <v>8556.84</v>
      </c>
      <c r="P21" s="218">
        <v>0</v>
      </c>
      <c r="Q21" s="222">
        <v>0</v>
      </c>
      <c r="R21" s="222">
        <v>110</v>
      </c>
      <c r="S21" s="218"/>
      <c r="T21" s="572">
        <v>3693</v>
      </c>
      <c r="U21" s="222">
        <v>173</v>
      </c>
      <c r="V21" s="222">
        <v>0</v>
      </c>
      <c r="W21" s="161"/>
      <c r="X21" s="222">
        <f>SUM(O21:U21)</f>
        <v>12532.84</v>
      </c>
      <c r="Y21" s="222">
        <f t="shared" si="11"/>
        <v>58774.16</v>
      </c>
      <c r="Z21" s="228"/>
      <c r="AA21" s="224"/>
      <c r="AB21" s="224"/>
      <c r="AC21" s="225"/>
      <c r="AD21" s="169"/>
      <c r="AE21" s="169"/>
      <c r="AF21" s="169"/>
      <c r="AG21" s="225"/>
      <c r="AH21" s="225"/>
      <c r="AI21" s="225"/>
    </row>
    <row r="22" spans="1:98" s="269" customFormat="1" ht="36" customHeight="1" thickBot="1">
      <c r="A22" s="435">
        <f t="shared" ref="A22" si="14">+A21+1</f>
        <v>9</v>
      </c>
      <c r="B22" s="226" t="s">
        <v>23</v>
      </c>
      <c r="C22" s="222">
        <v>66000</v>
      </c>
      <c r="D22" s="496" t="s">
        <v>277</v>
      </c>
      <c r="E22" s="496">
        <f t="shared" si="7"/>
        <v>96360</v>
      </c>
      <c r="F22" s="222"/>
      <c r="G22" s="233">
        <f t="shared" si="8"/>
        <v>66000</v>
      </c>
      <c r="H22" s="222">
        <f>+G22*46%</f>
        <v>30360</v>
      </c>
      <c r="I22" s="222">
        <f>+G22*18%</f>
        <v>11880</v>
      </c>
      <c r="J22" s="222">
        <v>1000</v>
      </c>
      <c r="K22" s="222">
        <f>(1800)+(1800*46%)</f>
        <v>2628</v>
      </c>
      <c r="L22" s="222"/>
      <c r="M22" s="494">
        <v>0</v>
      </c>
      <c r="N22" s="227">
        <f t="shared" si="9"/>
        <v>111868</v>
      </c>
      <c r="O22" s="222">
        <f t="shared" si="12"/>
        <v>11563.199999999999</v>
      </c>
      <c r="P22" s="558">
        <v>12000</v>
      </c>
      <c r="Q22" s="436">
        <v>30</v>
      </c>
      <c r="R22" s="222">
        <v>110</v>
      </c>
      <c r="S22" s="436">
        <v>0</v>
      </c>
      <c r="T22" s="436"/>
      <c r="U22" s="436">
        <v>0</v>
      </c>
      <c r="V22" s="436">
        <v>0</v>
      </c>
      <c r="W22" s="161"/>
      <c r="X22" s="222">
        <f t="shared" si="10"/>
        <v>23703.199999999997</v>
      </c>
      <c r="Y22" s="222">
        <f t="shared" si="11"/>
        <v>88164.800000000003</v>
      </c>
      <c r="Z22" s="228"/>
      <c r="AA22" s="217"/>
      <c r="AB22" s="217"/>
      <c r="AC22" s="225"/>
      <c r="AD22" s="222"/>
      <c r="AE22" s="554"/>
      <c r="AF22" s="554"/>
      <c r="AG22" s="268"/>
      <c r="AH22" s="229"/>
      <c r="AI22" s="268"/>
    </row>
    <row r="23" spans="1:98" s="177" customFormat="1" ht="47.25" customHeight="1" thickBot="1">
      <c r="A23" s="178"/>
      <c r="B23" s="185"/>
      <c r="C23" s="132">
        <f>SUM(C17:C22)</f>
        <v>355707</v>
      </c>
      <c r="D23" s="499"/>
      <c r="E23" s="499"/>
      <c r="F23" s="132">
        <f t="shared" ref="F23" si="15">+F17+F18+F19+F21+F22</f>
        <v>0</v>
      </c>
      <c r="G23" s="132">
        <f>+G17+G18+G19+G21+G22</f>
        <v>355707</v>
      </c>
      <c r="H23" s="132">
        <f>+H17+H18+H19+H21+H22</f>
        <v>130824</v>
      </c>
      <c r="I23" s="132">
        <f t="shared" ref="I23:M23" si="16">+I17+I18+I19+I21+I22</f>
        <v>24336</v>
      </c>
      <c r="J23" s="132">
        <f t="shared" si="16"/>
        <v>4000</v>
      </c>
      <c r="K23" s="132">
        <f t="shared" si="16"/>
        <v>18396</v>
      </c>
      <c r="L23" s="132">
        <f t="shared" si="16"/>
        <v>0</v>
      </c>
      <c r="M23" s="132">
        <f t="shared" si="16"/>
        <v>0</v>
      </c>
      <c r="N23" s="286">
        <f>+N17+N18+N19+N21+N22</f>
        <v>533263</v>
      </c>
      <c r="O23" s="317">
        <f>+O17+O18+O19+O21+O22</f>
        <v>58383.72</v>
      </c>
      <c r="P23" s="564">
        <f>+P17+P18+P19+P21+P22</f>
        <v>26000</v>
      </c>
      <c r="Q23" s="485">
        <f t="shared" ref="Q23:V23" si="17">+Q17+Q18+Q19+Q21+Q22</f>
        <v>165</v>
      </c>
      <c r="R23" s="317">
        <f t="shared" si="17"/>
        <v>550</v>
      </c>
      <c r="S23" s="317">
        <f t="shared" si="17"/>
        <v>0</v>
      </c>
      <c r="T23" s="317">
        <f>SUM(T15:T22)</f>
        <v>3693</v>
      </c>
      <c r="U23" s="317">
        <f t="shared" si="17"/>
        <v>585</v>
      </c>
      <c r="V23" s="317">
        <f t="shared" si="17"/>
        <v>0</v>
      </c>
      <c r="W23" s="317"/>
      <c r="X23" s="317">
        <f>+X17+X18+X19+X21+X22</f>
        <v>89376.72</v>
      </c>
      <c r="Y23" s="317">
        <f>+Y17+Y18+Y19+Y21+Y22</f>
        <v>443886.27999999997</v>
      </c>
      <c r="Z23" s="186"/>
      <c r="AA23" s="176"/>
      <c r="AB23" s="134"/>
      <c r="AC23" s="225"/>
      <c r="AD23" s="169"/>
      <c r="AE23" s="186"/>
      <c r="AF23" s="169"/>
      <c r="AG23" s="176"/>
      <c r="AH23" s="229"/>
      <c r="AI23" s="176"/>
      <c r="AJ23" s="528">
        <f>92165+77917+63966+50117+52617+49120+50620+51620+63628+48794+21890+0</f>
        <v>622454</v>
      </c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</row>
    <row r="24" spans="1:98" s="177" customFormat="1" ht="36" customHeight="1" thickTop="1" thickBot="1">
      <c r="A24" s="187"/>
      <c r="B24" s="179" t="s">
        <v>235</v>
      </c>
      <c r="C24" s="188"/>
      <c r="D24" s="501"/>
      <c r="E24" s="501"/>
      <c r="F24" s="188"/>
      <c r="G24" s="237"/>
      <c r="H24" s="470"/>
      <c r="I24" s="189"/>
      <c r="J24" s="189"/>
      <c r="K24" s="189"/>
      <c r="L24" s="189"/>
      <c r="M24" s="189"/>
      <c r="N24" s="190"/>
      <c r="O24" s="189"/>
      <c r="P24" s="176"/>
      <c r="Q24" s="189"/>
      <c r="R24" s="189"/>
      <c r="S24" s="189"/>
      <c r="T24" s="189"/>
      <c r="U24" s="189"/>
      <c r="V24" s="189"/>
      <c r="W24" s="191"/>
      <c r="X24" s="192"/>
      <c r="Y24" s="193"/>
      <c r="Z24" s="194" t="s">
        <v>110</v>
      </c>
      <c r="AA24" s="176"/>
      <c r="AB24" s="134"/>
      <c r="AC24" s="225"/>
      <c r="AD24" s="169"/>
      <c r="AE24" s="186"/>
      <c r="AF24" s="169"/>
      <c r="AG24" s="176"/>
      <c r="AH24" s="229"/>
      <c r="AI24" s="176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8"/>
      <c r="CQ24" s="528"/>
      <c r="CR24" s="528"/>
      <c r="CS24" s="528"/>
      <c r="CT24" s="528"/>
    </row>
    <row r="25" spans="1:98" ht="36" customHeight="1">
      <c r="A25" s="158">
        <f>+A22+1</f>
        <v>10</v>
      </c>
      <c r="B25" s="159" t="s">
        <v>115</v>
      </c>
      <c r="C25" s="195">
        <v>66000</v>
      </c>
      <c r="D25" s="496" t="s">
        <v>278</v>
      </c>
      <c r="E25" s="496">
        <f t="shared" ref="E25" si="18">+C25+H25</f>
        <v>96360</v>
      </c>
      <c r="F25" s="130"/>
      <c r="G25" s="233">
        <f t="shared" ref="G25" si="19">+C25</f>
        <v>66000</v>
      </c>
      <c r="H25" s="222">
        <f>+G25*46%</f>
        <v>30360</v>
      </c>
      <c r="I25" s="222">
        <f>+G25*18%</f>
        <v>11880</v>
      </c>
      <c r="J25" s="222">
        <v>1000</v>
      </c>
      <c r="K25" s="222">
        <f>(1800)+(1800*46%)</f>
        <v>2628</v>
      </c>
      <c r="L25" s="222"/>
      <c r="M25" s="494"/>
      <c r="N25" s="227">
        <f t="shared" ref="N25" si="20">SUM(G25:K25)</f>
        <v>111868</v>
      </c>
      <c r="O25" s="222">
        <f>(G25+H25)*12%</f>
        <v>11563.199999999999</v>
      </c>
      <c r="P25" s="558">
        <v>8000</v>
      </c>
      <c r="Q25" s="222">
        <v>30</v>
      </c>
      <c r="R25" s="222">
        <v>110</v>
      </c>
      <c r="S25" s="222">
        <v>0</v>
      </c>
      <c r="T25" s="222"/>
      <c r="U25" s="222">
        <v>0</v>
      </c>
      <c r="V25" s="130"/>
      <c r="W25" s="161"/>
      <c r="X25" s="222">
        <f t="shared" ref="X25" si="21">SUM(O25:W25)</f>
        <v>19703.199999999997</v>
      </c>
      <c r="Y25" s="222">
        <f t="shared" ref="Y25" si="22">+N25-X25</f>
        <v>92164.800000000003</v>
      </c>
      <c r="Z25" s="228"/>
      <c r="AA25" s="134"/>
      <c r="AB25" s="134"/>
      <c r="AC25" s="225"/>
      <c r="AD25" s="222"/>
      <c r="AE25" s="554"/>
      <c r="AF25" s="554"/>
      <c r="AH25" s="229"/>
    </row>
    <row r="26" spans="1:98" ht="36" customHeight="1">
      <c r="A26" s="158"/>
      <c r="B26" s="179" t="s">
        <v>239</v>
      </c>
      <c r="C26" s="179"/>
      <c r="D26" s="500"/>
      <c r="E26" s="500"/>
      <c r="F26" s="179"/>
      <c r="G26" s="233">
        <f>(C26+D26+F26)</f>
        <v>0</v>
      </c>
      <c r="H26" s="184"/>
      <c r="I26" s="130"/>
      <c r="J26" s="130"/>
      <c r="K26" s="130"/>
      <c r="L26" s="169"/>
      <c r="M26" s="494"/>
      <c r="N26" s="160"/>
      <c r="O26" s="169"/>
      <c r="P26" s="558"/>
      <c r="Q26" s="169"/>
      <c r="R26" s="166"/>
      <c r="S26" s="169"/>
      <c r="T26" s="169"/>
      <c r="U26" s="169"/>
      <c r="V26" s="169"/>
      <c r="W26" s="171"/>
      <c r="X26" s="222">
        <f t="shared" ref="X26:X29" si="23">+O26+P26+Q26+R26+S26+U26+V26</f>
        <v>0</v>
      </c>
      <c r="Y26" s="170"/>
      <c r="Z26" s="228"/>
      <c r="AA26" s="134"/>
      <c r="AB26" s="134"/>
      <c r="AC26" s="225"/>
      <c r="AD26" s="169"/>
      <c r="AE26" s="169"/>
      <c r="AF26" s="169"/>
      <c r="AH26" s="229"/>
    </row>
    <row r="27" spans="1:98" s="137" customFormat="1" ht="36" customHeight="1">
      <c r="A27" s="158">
        <v>11</v>
      </c>
      <c r="B27" s="159" t="s">
        <v>22</v>
      </c>
      <c r="C27" s="222">
        <v>60400</v>
      </c>
      <c r="D27" s="502" t="s">
        <v>279</v>
      </c>
      <c r="E27" s="496">
        <f t="shared" ref="E27:E37" si="24">+C27+H27</f>
        <v>88184</v>
      </c>
      <c r="F27" s="130"/>
      <c r="G27" s="233">
        <f t="shared" ref="G27:G28" si="25">+C27</f>
        <v>60400</v>
      </c>
      <c r="H27" s="222">
        <f>+G27*46%</f>
        <v>27784</v>
      </c>
      <c r="I27" s="222">
        <v>0</v>
      </c>
      <c r="J27" s="222">
        <v>1000</v>
      </c>
      <c r="K27" s="222">
        <f>(1800)+(1800*46%)</f>
        <v>2628</v>
      </c>
      <c r="L27" s="222"/>
      <c r="M27" s="494"/>
      <c r="N27" s="227">
        <f t="shared" ref="N27:N33" si="26">SUM(G27:K27)</f>
        <v>91812</v>
      </c>
      <c r="O27" s="222">
        <f>(G27+H27)*12%</f>
        <v>10582.08</v>
      </c>
      <c r="P27" s="558">
        <v>0</v>
      </c>
      <c r="Q27" s="222">
        <v>30</v>
      </c>
      <c r="R27" s="222">
        <v>110</v>
      </c>
      <c r="S27" s="222">
        <v>0</v>
      </c>
      <c r="T27" s="222"/>
      <c r="U27" s="585">
        <v>173</v>
      </c>
      <c r="V27" s="130"/>
      <c r="W27" s="161"/>
      <c r="X27" s="222">
        <f t="shared" ref="X27:X28" si="27">SUM(O27:W27)</f>
        <v>10895.08</v>
      </c>
      <c r="Y27" s="222">
        <f t="shared" ref="Y27:Y28" si="28">+N27-X27</f>
        <v>80916.92</v>
      </c>
      <c r="Z27" s="228"/>
      <c r="AA27" s="134"/>
      <c r="AB27" s="134"/>
      <c r="AC27" s="225"/>
      <c r="AD27" s="222"/>
      <c r="AE27" s="554"/>
      <c r="AF27" s="554"/>
      <c r="AG27" s="225"/>
      <c r="AH27" s="229"/>
      <c r="AI27" s="225"/>
    </row>
    <row r="28" spans="1:98" s="137" customFormat="1" ht="36" customHeight="1">
      <c r="A28" s="242">
        <v>12</v>
      </c>
      <c r="B28" s="243" t="s">
        <v>131</v>
      </c>
      <c r="C28" s="244">
        <v>51500</v>
      </c>
      <c r="D28" s="503">
        <v>2</v>
      </c>
      <c r="E28" s="496">
        <f t="shared" si="24"/>
        <v>75190</v>
      </c>
      <c r="F28" s="222"/>
      <c r="G28" s="233">
        <f t="shared" si="25"/>
        <v>51500</v>
      </c>
      <c r="H28" s="222">
        <f>+G28*46%</f>
        <v>23690</v>
      </c>
      <c r="I28" s="222">
        <v>0</v>
      </c>
      <c r="J28" s="222">
        <v>1000</v>
      </c>
      <c r="K28" s="222">
        <f>(2250)+(2250*46%)</f>
        <v>3285</v>
      </c>
      <c r="L28" s="222"/>
      <c r="M28" s="494"/>
      <c r="N28" s="227">
        <f t="shared" si="26"/>
        <v>79475</v>
      </c>
      <c r="O28" s="222">
        <f>(G28+H28)*12%</f>
        <v>9022.7999999999993</v>
      </c>
      <c r="P28" s="244">
        <v>5000</v>
      </c>
      <c r="Q28" s="244">
        <v>30</v>
      </c>
      <c r="R28" s="222">
        <v>110</v>
      </c>
      <c r="S28" s="244">
        <v>0</v>
      </c>
      <c r="T28" s="244"/>
      <c r="U28" s="244">
        <f>173*2</f>
        <v>346</v>
      </c>
      <c r="V28" s="244">
        <v>0</v>
      </c>
      <c r="W28" s="161"/>
      <c r="X28" s="222">
        <f t="shared" si="27"/>
        <v>14508.8</v>
      </c>
      <c r="Y28" s="222">
        <f t="shared" si="28"/>
        <v>64966.2</v>
      </c>
      <c r="Z28" s="228"/>
      <c r="AA28" s="241"/>
      <c r="AB28" s="241"/>
      <c r="AC28" s="222">
        <f>(2250)+(2250*50%)</f>
        <v>3375</v>
      </c>
      <c r="AD28" s="169"/>
      <c r="AE28" s="554"/>
      <c r="AF28" s="554"/>
      <c r="AG28" s="156"/>
      <c r="AH28" s="240"/>
      <c r="AI28" s="156"/>
      <c r="AO28" s="555"/>
      <c r="AP28" s="555"/>
    </row>
    <row r="29" spans="1:98" s="137" customFormat="1" ht="36" customHeight="1">
      <c r="A29" s="158"/>
      <c r="B29" s="179" t="s">
        <v>287</v>
      </c>
      <c r="C29" s="184"/>
      <c r="D29" s="500"/>
      <c r="E29" s="500"/>
      <c r="F29" s="179"/>
      <c r="G29" s="236"/>
      <c r="H29" s="184"/>
      <c r="I29" s="130"/>
      <c r="J29" s="130"/>
      <c r="K29" s="130"/>
      <c r="L29" s="169"/>
      <c r="M29" s="169"/>
      <c r="N29" s="211"/>
      <c r="O29" s="169"/>
      <c r="P29" s="563"/>
      <c r="Q29" s="169"/>
      <c r="R29" s="222"/>
      <c r="S29" s="169"/>
      <c r="T29" s="169"/>
      <c r="U29" s="169"/>
      <c r="V29" s="169"/>
      <c r="W29" s="171"/>
      <c r="X29" s="222">
        <f t="shared" si="23"/>
        <v>0</v>
      </c>
      <c r="Y29" s="170"/>
      <c r="Z29" s="228"/>
      <c r="AA29" s="134"/>
      <c r="AB29" s="134"/>
      <c r="AC29" s="225"/>
      <c r="AD29" s="169"/>
      <c r="AE29" s="169"/>
      <c r="AF29" s="169"/>
      <c r="AG29" s="225"/>
      <c r="AH29" s="229"/>
      <c r="AI29" s="225"/>
    </row>
    <row r="30" spans="1:98" s="137" customFormat="1" ht="36" customHeight="1">
      <c r="A30" s="210">
        <f>+A28+1</f>
        <v>13</v>
      </c>
      <c r="B30" s="594" t="s">
        <v>233</v>
      </c>
      <c r="C30" s="222">
        <v>41100</v>
      </c>
      <c r="D30" s="496">
        <v>6</v>
      </c>
      <c r="E30" s="496">
        <f t="shared" si="24"/>
        <v>60006</v>
      </c>
      <c r="F30" s="222"/>
      <c r="G30" s="233">
        <f t="shared" ref="G30:G37" si="29">+C30</f>
        <v>41100</v>
      </c>
      <c r="H30" s="222">
        <f>+G30*46%</f>
        <v>18906</v>
      </c>
      <c r="I30" s="222">
        <v>0</v>
      </c>
      <c r="J30" s="222">
        <v>1000</v>
      </c>
      <c r="K30" s="222">
        <f t="shared" ref="K30:K37" si="30">(1800)+(1800*46%)</f>
        <v>2628</v>
      </c>
      <c r="L30" s="222"/>
      <c r="M30" s="222">
        <v>0</v>
      </c>
      <c r="N30" s="227">
        <f t="shared" si="26"/>
        <v>63634</v>
      </c>
      <c r="O30" s="170">
        <f t="shared" ref="O30:O35" si="31">(G30+H30)*12%</f>
        <v>7200.7199999999993</v>
      </c>
      <c r="P30" s="558">
        <v>4000</v>
      </c>
      <c r="Q30" s="574">
        <v>0</v>
      </c>
      <c r="R30" s="222">
        <v>110</v>
      </c>
      <c r="S30" s="222"/>
      <c r="T30" s="222"/>
      <c r="U30" s="222">
        <v>206</v>
      </c>
      <c r="V30" s="130"/>
      <c r="W30" s="161"/>
      <c r="X30" s="222">
        <f t="shared" ref="X30:X33" si="32">SUM(O30:W30)</f>
        <v>11516.72</v>
      </c>
      <c r="Y30" s="222">
        <f t="shared" ref="Y30:Y33" si="33">+N30-X30</f>
        <v>52117.279999999999</v>
      </c>
      <c r="Z30" s="228"/>
      <c r="AA30" s="134"/>
      <c r="AB30" s="134"/>
      <c r="AC30" s="225"/>
      <c r="AD30" s="222"/>
      <c r="AE30" s="554"/>
      <c r="AF30" s="554"/>
      <c r="AG30" s="225"/>
      <c r="AH30" s="229"/>
      <c r="AI30" s="225"/>
    </row>
    <row r="31" spans="1:98" s="137" customFormat="1" ht="36" customHeight="1">
      <c r="A31" s="245">
        <f>+A30+1</f>
        <v>14</v>
      </c>
      <c r="B31" s="226" t="s">
        <v>126</v>
      </c>
      <c r="C31" s="222">
        <v>41100</v>
      </c>
      <c r="D31" s="496">
        <v>6</v>
      </c>
      <c r="E31" s="496">
        <f t="shared" si="24"/>
        <v>60006</v>
      </c>
      <c r="F31" s="222"/>
      <c r="G31" s="233">
        <f t="shared" si="29"/>
        <v>41100</v>
      </c>
      <c r="H31" s="222">
        <f>+G31*46%</f>
        <v>18906</v>
      </c>
      <c r="I31" s="222">
        <v>0</v>
      </c>
      <c r="J31" s="222">
        <v>1000</v>
      </c>
      <c r="K31" s="222">
        <f t="shared" si="30"/>
        <v>2628</v>
      </c>
      <c r="L31" s="222"/>
      <c r="M31" s="222">
        <v>0</v>
      </c>
      <c r="N31" s="227">
        <f t="shared" si="26"/>
        <v>63634</v>
      </c>
      <c r="O31" s="170">
        <f t="shared" si="31"/>
        <v>7200.7199999999993</v>
      </c>
      <c r="P31" s="558">
        <v>3500</v>
      </c>
      <c r="Q31" s="574">
        <v>0</v>
      </c>
      <c r="R31" s="222">
        <v>110</v>
      </c>
      <c r="S31" s="222"/>
      <c r="T31" s="222"/>
      <c r="U31" s="222">
        <v>206</v>
      </c>
      <c r="V31" s="222"/>
      <c r="W31" s="161"/>
      <c r="X31" s="222">
        <f t="shared" si="32"/>
        <v>11016.72</v>
      </c>
      <c r="Y31" s="222">
        <f t="shared" si="33"/>
        <v>52617.279999999999</v>
      </c>
      <c r="Z31" s="228"/>
      <c r="AA31" s="224"/>
      <c r="AB31" s="224"/>
      <c r="AC31" s="225"/>
      <c r="AD31" s="222"/>
      <c r="AE31" s="554"/>
      <c r="AF31" s="554"/>
      <c r="AG31" s="225"/>
      <c r="AH31" s="229"/>
      <c r="AI31" s="225"/>
    </row>
    <row r="32" spans="1:98" s="137" customFormat="1" ht="37.5" customHeight="1">
      <c r="A32" s="566">
        <f t="shared" ref="A32:A33" si="34">+A31+1</f>
        <v>15</v>
      </c>
      <c r="B32" s="226" t="s">
        <v>269</v>
      </c>
      <c r="C32" s="222">
        <v>37600</v>
      </c>
      <c r="D32" s="496">
        <v>6</v>
      </c>
      <c r="E32" s="496">
        <f t="shared" si="24"/>
        <v>54896</v>
      </c>
      <c r="F32" s="222"/>
      <c r="G32" s="233">
        <f t="shared" si="29"/>
        <v>37600</v>
      </c>
      <c r="H32" s="222">
        <f>+G32*46%</f>
        <v>17296</v>
      </c>
      <c r="I32" s="222">
        <v>0</v>
      </c>
      <c r="J32" s="222">
        <v>1000</v>
      </c>
      <c r="K32" s="222">
        <f t="shared" si="30"/>
        <v>2628</v>
      </c>
      <c r="L32" s="222"/>
      <c r="M32" s="222">
        <v>0</v>
      </c>
      <c r="N32" s="227">
        <f t="shared" si="26"/>
        <v>58524</v>
      </c>
      <c r="O32" s="170">
        <f t="shared" si="31"/>
        <v>6587.5199999999995</v>
      </c>
      <c r="P32" s="558">
        <v>1000</v>
      </c>
      <c r="Q32" s="574">
        <v>0</v>
      </c>
      <c r="R32" s="222">
        <v>110</v>
      </c>
      <c r="S32" s="222"/>
      <c r="T32" s="222"/>
      <c r="U32" s="222">
        <v>206</v>
      </c>
      <c r="V32" s="222"/>
      <c r="W32" s="161"/>
      <c r="X32" s="222">
        <f t="shared" si="32"/>
        <v>7903.5199999999995</v>
      </c>
      <c r="Y32" s="222">
        <f t="shared" si="33"/>
        <v>50620.480000000003</v>
      </c>
      <c r="Z32" s="228"/>
      <c r="AA32" s="224"/>
      <c r="AB32" s="224"/>
      <c r="AC32" s="225"/>
      <c r="AD32" s="222"/>
      <c r="AE32" s="566"/>
      <c r="AF32" s="566"/>
      <c r="AG32" s="225"/>
      <c r="AH32" s="229"/>
      <c r="AI32" s="225"/>
    </row>
    <row r="33" spans="1:98" s="137" customFormat="1" ht="36" customHeight="1">
      <c r="A33" s="267">
        <f t="shared" si="34"/>
        <v>16</v>
      </c>
      <c r="B33" s="265" t="s">
        <v>141</v>
      </c>
      <c r="C33" s="222">
        <v>37600</v>
      </c>
      <c r="D33" s="496">
        <v>6</v>
      </c>
      <c r="E33" s="496">
        <f t="shared" si="24"/>
        <v>54896</v>
      </c>
      <c r="F33" s="222"/>
      <c r="G33" s="233">
        <f t="shared" si="29"/>
        <v>37600</v>
      </c>
      <c r="H33" s="222">
        <f>+G33*46%</f>
        <v>17296</v>
      </c>
      <c r="I33" s="222">
        <v>0</v>
      </c>
      <c r="J33" s="222">
        <v>1000</v>
      </c>
      <c r="K33" s="222">
        <f t="shared" si="30"/>
        <v>2628</v>
      </c>
      <c r="L33" s="222"/>
      <c r="M33" s="222">
        <v>0</v>
      </c>
      <c r="N33" s="227">
        <f t="shared" si="26"/>
        <v>58524</v>
      </c>
      <c r="O33" s="170">
        <f t="shared" si="31"/>
        <v>6587.5199999999995</v>
      </c>
      <c r="P33" s="558">
        <v>0</v>
      </c>
      <c r="Q33" s="574">
        <v>0</v>
      </c>
      <c r="R33" s="222">
        <v>110</v>
      </c>
      <c r="S33" s="222"/>
      <c r="T33" s="222"/>
      <c r="U33" s="222">
        <v>206</v>
      </c>
      <c r="V33" s="222"/>
      <c r="W33" s="161"/>
      <c r="X33" s="222">
        <f t="shared" si="32"/>
        <v>6903.5199999999995</v>
      </c>
      <c r="Y33" s="222">
        <f t="shared" si="33"/>
        <v>51620.480000000003</v>
      </c>
      <c r="Z33" s="228"/>
      <c r="AA33" s="224"/>
      <c r="AB33" s="224"/>
      <c r="AC33" s="225"/>
      <c r="AD33" s="222"/>
      <c r="AE33" s="554"/>
      <c r="AF33" s="554"/>
      <c r="AG33" s="225"/>
      <c r="AH33" s="229"/>
      <c r="AI33" s="225"/>
    </row>
    <row r="34" spans="1:98" s="154" customFormat="1" ht="36" customHeight="1" thickBot="1">
      <c r="A34" s="215"/>
      <c r="B34" s="531"/>
      <c r="C34" s="132">
        <f>SUM(C25:C33)</f>
        <v>335300</v>
      </c>
      <c r="D34" s="499"/>
      <c r="E34" s="499"/>
      <c r="F34" s="132">
        <f t="shared" ref="F34:N34" si="35">+F25+F27+F28+F30+F31+F32+F33</f>
        <v>0</v>
      </c>
      <c r="G34" s="132">
        <f>+G25+G27+G28+G30+G31+G32+G33</f>
        <v>335300</v>
      </c>
      <c r="H34" s="132">
        <f>+H25+H27+H28+H30+H31+H32+H33</f>
        <v>154238</v>
      </c>
      <c r="I34" s="132">
        <f t="shared" si="35"/>
        <v>11880</v>
      </c>
      <c r="J34" s="132">
        <f t="shared" si="35"/>
        <v>7000</v>
      </c>
      <c r="K34" s="132">
        <f t="shared" si="35"/>
        <v>19053</v>
      </c>
      <c r="L34" s="132">
        <f t="shared" si="35"/>
        <v>0</v>
      </c>
      <c r="M34" s="132">
        <f t="shared" si="35"/>
        <v>0</v>
      </c>
      <c r="N34" s="132">
        <f t="shared" si="35"/>
        <v>527471</v>
      </c>
      <c r="O34" s="132">
        <f>+O25+O27+O28+O30+O31+O32+O33+1</f>
        <v>58745.55999999999</v>
      </c>
      <c r="P34" s="564">
        <f>+P25+P27+P28+P30+P31+P32+P33</f>
        <v>21500</v>
      </c>
      <c r="Q34" s="132">
        <f>+Q25+Q27+Q28+Q30+Q31+Q32+Q33</f>
        <v>90</v>
      </c>
      <c r="R34" s="132">
        <f>+R25+R27+R28+R30+R31+R32+R33</f>
        <v>770</v>
      </c>
      <c r="S34" s="132">
        <f>+S25+S27+S28+S30+S31+S32+S33</f>
        <v>0</v>
      </c>
      <c r="T34" s="132"/>
      <c r="U34" s="132">
        <f>+U25+U27+U28+U30+U31+U32+U33</f>
        <v>1343</v>
      </c>
      <c r="V34" s="132">
        <f>+V25+V27+V28+V30+V31+V32+V33</f>
        <v>0</v>
      </c>
      <c r="W34" s="132"/>
      <c r="X34" s="132">
        <f>+X25+X27+X28+X30+X31+X32+X33+1</f>
        <v>82448.560000000012</v>
      </c>
      <c r="Y34" s="132">
        <f>SUM(Y24:Y33)-1</f>
        <v>445022.43999999994</v>
      </c>
      <c r="Z34" s="175"/>
      <c r="AA34" s="176"/>
      <c r="AB34" s="134"/>
      <c r="AC34" s="225"/>
      <c r="AD34" s="169"/>
      <c r="AE34" s="169"/>
      <c r="AF34" s="169"/>
      <c r="AG34" s="176"/>
      <c r="AH34" s="229"/>
      <c r="AI34" s="225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</row>
    <row r="35" spans="1:98" s="137" customFormat="1" ht="36" customHeight="1" thickTop="1">
      <c r="A35" s="216">
        <v>17</v>
      </c>
      <c r="B35" s="226" t="s">
        <v>130</v>
      </c>
      <c r="C35" s="222">
        <v>37600</v>
      </c>
      <c r="D35" s="496">
        <v>6</v>
      </c>
      <c r="E35" s="496">
        <f t="shared" si="24"/>
        <v>54896</v>
      </c>
      <c r="F35" s="222"/>
      <c r="G35" s="233">
        <f t="shared" si="29"/>
        <v>37600</v>
      </c>
      <c r="H35" s="222">
        <f>+G35*46%</f>
        <v>17296</v>
      </c>
      <c r="I35" s="222">
        <v>0</v>
      </c>
      <c r="J35" s="222">
        <v>1000</v>
      </c>
      <c r="K35" s="222">
        <f t="shared" si="30"/>
        <v>2628</v>
      </c>
      <c r="L35" s="222"/>
      <c r="M35" s="222">
        <v>0</v>
      </c>
      <c r="N35" s="227">
        <f>SUM(G35:K35)</f>
        <v>58524</v>
      </c>
      <c r="O35" s="222">
        <f t="shared" si="31"/>
        <v>6587.5199999999995</v>
      </c>
      <c r="P35" s="592">
        <v>0</v>
      </c>
      <c r="Q35" s="222">
        <v>0</v>
      </c>
      <c r="R35" s="222">
        <v>110</v>
      </c>
      <c r="S35" s="222"/>
      <c r="T35" s="222"/>
      <c r="U35" s="222">
        <v>206</v>
      </c>
      <c r="V35" s="222"/>
      <c r="W35" s="161"/>
      <c r="X35" s="222">
        <f t="shared" ref="X35:X36" si="36">SUM(O35:W35)</f>
        <v>6903.5199999999995</v>
      </c>
      <c r="Y35" s="222">
        <f t="shared" ref="Y35:Y37" si="37">+N35-X35</f>
        <v>51620.480000000003</v>
      </c>
      <c r="Z35" s="228"/>
      <c r="AA35" s="224"/>
      <c r="AB35" s="134"/>
      <c r="AC35" s="225"/>
      <c r="AD35" s="222"/>
      <c r="AE35" s="554"/>
      <c r="AF35" s="554"/>
      <c r="AG35" s="225"/>
      <c r="AH35" s="229"/>
      <c r="AI35" s="225"/>
    </row>
    <row r="36" spans="1:98" s="137" customFormat="1" ht="37.5" customHeight="1">
      <c r="A36" s="216">
        <v>18</v>
      </c>
      <c r="B36" s="594" t="s">
        <v>299</v>
      </c>
      <c r="C36" s="222">
        <v>44900</v>
      </c>
      <c r="D36" s="496" t="s">
        <v>284</v>
      </c>
      <c r="E36" s="496">
        <f t="shared" si="24"/>
        <v>65554</v>
      </c>
      <c r="F36" s="130"/>
      <c r="G36" s="233">
        <f t="shared" si="29"/>
        <v>44900</v>
      </c>
      <c r="H36" s="222">
        <f>+G36*46%</f>
        <v>20654</v>
      </c>
      <c r="I36" s="222">
        <v>0</v>
      </c>
      <c r="J36" s="222">
        <v>1000</v>
      </c>
      <c r="K36" s="222">
        <f>(3600)+(3600*46%)+0</f>
        <v>5256</v>
      </c>
      <c r="L36" s="222"/>
      <c r="M36" s="222">
        <v>0</v>
      </c>
      <c r="N36" s="227">
        <f t="shared" ref="N36:N37" si="38">SUM(G36:K36)</f>
        <v>71810</v>
      </c>
      <c r="O36" s="222">
        <f>(G36+H36)*12%</f>
        <v>7866.48</v>
      </c>
      <c r="P36" s="573">
        <v>0</v>
      </c>
      <c r="Q36" s="222">
        <v>0</v>
      </c>
      <c r="R36" s="222">
        <v>110</v>
      </c>
      <c r="S36" s="222">
        <v>0</v>
      </c>
      <c r="T36" s="222"/>
      <c r="U36" s="222">
        <v>206</v>
      </c>
      <c r="V36" s="130"/>
      <c r="W36" s="161"/>
      <c r="X36" s="222">
        <f t="shared" si="36"/>
        <v>8182.48</v>
      </c>
      <c r="Y36" s="222">
        <f t="shared" si="37"/>
        <v>63627.520000000004</v>
      </c>
      <c r="Z36" s="228"/>
      <c r="AA36" s="134"/>
      <c r="AB36" s="134"/>
      <c r="AC36" s="225"/>
      <c r="AD36" s="199"/>
      <c r="AE36" s="554"/>
      <c r="AF36" s="554"/>
      <c r="AG36" s="225"/>
      <c r="AH36" s="229"/>
      <c r="AI36" s="225"/>
    </row>
    <row r="37" spans="1:98" s="137" customFormat="1" ht="36" customHeight="1">
      <c r="A37" s="216">
        <v>19</v>
      </c>
      <c r="B37" s="226" t="s">
        <v>300</v>
      </c>
      <c r="C37" s="222">
        <v>35400</v>
      </c>
      <c r="D37" s="496" t="s">
        <v>285</v>
      </c>
      <c r="E37" s="496">
        <f t="shared" si="24"/>
        <v>51684</v>
      </c>
      <c r="F37" s="130"/>
      <c r="G37" s="233">
        <f t="shared" si="29"/>
        <v>35400</v>
      </c>
      <c r="H37" s="222">
        <f>+G37*46%</f>
        <v>16284</v>
      </c>
      <c r="I37" s="222">
        <v>0</v>
      </c>
      <c r="J37" s="222">
        <v>1000</v>
      </c>
      <c r="K37" s="222">
        <f t="shared" si="30"/>
        <v>2628</v>
      </c>
      <c r="L37" s="222"/>
      <c r="M37" s="222">
        <v>0</v>
      </c>
      <c r="N37" s="227">
        <f t="shared" si="38"/>
        <v>55312</v>
      </c>
      <c r="O37" s="222">
        <f>(G37+H37)*12%</f>
        <v>6202.08</v>
      </c>
      <c r="P37" s="592">
        <v>0</v>
      </c>
      <c r="Q37" s="222">
        <v>0</v>
      </c>
      <c r="R37" s="222">
        <v>110</v>
      </c>
      <c r="S37" s="222">
        <v>0</v>
      </c>
      <c r="T37" s="222"/>
      <c r="U37" s="222">
        <v>206</v>
      </c>
      <c r="V37" s="130"/>
      <c r="W37" s="161"/>
      <c r="X37" s="222">
        <f>SUM(O37:W37)</f>
        <v>6518.08</v>
      </c>
      <c r="Y37" s="222">
        <f t="shared" si="37"/>
        <v>48793.919999999998</v>
      </c>
      <c r="Z37" s="228"/>
      <c r="AA37" s="134"/>
      <c r="AB37" s="134"/>
      <c r="AC37" s="225"/>
      <c r="AD37" s="222"/>
      <c r="AE37" s="554"/>
      <c r="AF37" s="554"/>
      <c r="AG37" s="225"/>
      <c r="AH37" s="229"/>
      <c r="AI37" s="225"/>
    </row>
    <row r="38" spans="1:98" s="154" customFormat="1" ht="36" customHeight="1">
      <c r="A38" s="196"/>
      <c r="B38" s="363" t="s">
        <v>271</v>
      </c>
      <c r="C38" s="214"/>
      <c r="D38" s="504"/>
      <c r="E38" s="504"/>
      <c r="F38" s="197"/>
      <c r="G38" s="233"/>
      <c r="H38" s="197"/>
      <c r="I38" s="197"/>
      <c r="J38" s="197"/>
      <c r="K38" s="197"/>
      <c r="L38" s="197"/>
      <c r="M38" s="197"/>
      <c r="N38" s="482"/>
      <c r="O38" s="222"/>
      <c r="P38" s="593"/>
      <c r="Q38" s="223"/>
      <c r="R38" s="222"/>
      <c r="S38" s="223"/>
      <c r="T38" s="223"/>
      <c r="U38" s="223"/>
      <c r="V38" s="223"/>
      <c r="W38" s="223"/>
      <c r="X38" s="222"/>
      <c r="Y38" s="223"/>
      <c r="Z38" s="186"/>
      <c r="AA38" s="176"/>
      <c r="AB38" s="224"/>
      <c r="AC38" s="225"/>
      <c r="AD38" s="225"/>
      <c r="AE38" s="225"/>
      <c r="AF38" s="225"/>
      <c r="AG38" s="176"/>
      <c r="AH38" s="229"/>
      <c r="AI38" s="225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</row>
    <row r="39" spans="1:98" s="154" customFormat="1" ht="36" hidden="1" customHeight="1">
      <c r="A39" s="196"/>
      <c r="B39" s="531"/>
      <c r="C39" s="214"/>
      <c r="D39" s="530"/>
      <c r="E39" s="504"/>
      <c r="F39" s="197"/>
      <c r="G39" s="233"/>
      <c r="H39" s="222"/>
      <c r="I39" s="222"/>
      <c r="J39" s="222"/>
      <c r="K39" s="222"/>
      <c r="L39" s="222"/>
      <c r="M39" s="222"/>
      <c r="N39" s="482"/>
      <c r="O39" s="222"/>
      <c r="P39" s="592"/>
      <c r="Q39" s="222"/>
      <c r="R39" s="222"/>
      <c r="S39" s="222"/>
      <c r="T39" s="222"/>
      <c r="U39" s="222"/>
      <c r="V39" s="222"/>
      <c r="W39" s="161"/>
      <c r="X39" s="222"/>
      <c r="Y39" s="222"/>
      <c r="Z39" s="186"/>
      <c r="AA39" s="176"/>
      <c r="AB39" s="224"/>
      <c r="AC39" s="225"/>
      <c r="AD39" s="225"/>
      <c r="AE39" s="225"/>
      <c r="AF39" s="225"/>
      <c r="AG39" s="176"/>
      <c r="AH39" s="229"/>
      <c r="AI39" s="225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</row>
    <row r="40" spans="1:98" s="154" customFormat="1" ht="36" customHeight="1">
      <c r="A40" s="196">
        <v>20</v>
      </c>
      <c r="B40" s="537" t="s">
        <v>268</v>
      </c>
      <c r="C40" s="214">
        <v>25000</v>
      </c>
      <c r="D40" s="504"/>
      <c r="E40" s="496">
        <f t="shared" ref="E40:E42" si="39">+C40+H40</f>
        <v>25000</v>
      </c>
      <c r="F40" s="197"/>
      <c r="G40" s="233">
        <f>+C40</f>
        <v>25000</v>
      </c>
      <c r="H40" s="222">
        <v>0</v>
      </c>
      <c r="I40" s="222">
        <v>0</v>
      </c>
      <c r="J40" s="222">
        <v>0</v>
      </c>
      <c r="K40" s="222">
        <v>0</v>
      </c>
      <c r="L40" s="222"/>
      <c r="M40" s="222">
        <v>0</v>
      </c>
      <c r="N40" s="482">
        <f>SUM(G40:K40)</f>
        <v>25000</v>
      </c>
      <c r="O40" s="222">
        <f>+C40*12%</f>
        <v>3000</v>
      </c>
      <c r="P40" s="592">
        <v>0</v>
      </c>
      <c r="Q40" s="222">
        <v>0</v>
      </c>
      <c r="R40" s="222">
        <v>110</v>
      </c>
      <c r="S40" s="222">
        <v>0</v>
      </c>
      <c r="T40" s="222"/>
      <c r="U40" s="222">
        <v>0</v>
      </c>
      <c r="V40" s="222"/>
      <c r="W40" s="161"/>
      <c r="X40" s="222">
        <f>SUM(O40:U40)</f>
        <v>3110</v>
      </c>
      <c r="Y40" s="222">
        <f t="shared" ref="Y40" si="40">+N40-X40</f>
        <v>21890</v>
      </c>
      <c r="Z40" s="186"/>
      <c r="AA40" s="176"/>
      <c r="AB40" s="224"/>
      <c r="AC40" s="225"/>
      <c r="AD40" s="225"/>
      <c r="AE40" s="225"/>
      <c r="AF40" s="225"/>
      <c r="AG40" s="176"/>
      <c r="AH40" s="229"/>
      <c r="AI40" s="225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</row>
    <row r="41" spans="1:98" s="154" customFormat="1" ht="36" customHeight="1">
      <c r="A41" s="196">
        <v>21</v>
      </c>
      <c r="B41" s="537" t="s">
        <v>316</v>
      </c>
      <c r="C41" s="214">
        <v>17500</v>
      </c>
      <c r="D41" s="504"/>
      <c r="E41" s="496">
        <f t="shared" si="39"/>
        <v>17500</v>
      </c>
      <c r="F41" s="197"/>
      <c r="G41" s="233">
        <f>+C41</f>
        <v>17500</v>
      </c>
      <c r="H41" s="222">
        <v>0</v>
      </c>
      <c r="I41" s="222"/>
      <c r="J41" s="222"/>
      <c r="K41" s="222"/>
      <c r="L41" s="222"/>
      <c r="M41" s="222"/>
      <c r="N41" s="482">
        <f t="shared" ref="N41:N42" si="41">SUM(G41:K41)</f>
        <v>17500</v>
      </c>
      <c r="O41" s="222">
        <f t="shared" ref="O41" si="42">+C41*12%</f>
        <v>2100</v>
      </c>
      <c r="P41" s="592">
        <v>0</v>
      </c>
      <c r="Q41" s="222">
        <v>0</v>
      </c>
      <c r="R41" s="222">
        <v>110</v>
      </c>
      <c r="S41" s="222">
        <v>0</v>
      </c>
      <c r="T41" s="222"/>
      <c r="U41" s="222">
        <v>0</v>
      </c>
      <c r="V41" s="222"/>
      <c r="W41" s="161"/>
      <c r="X41" s="222">
        <f t="shared" ref="X41:X42" si="43">SUM(O41:U41)</f>
        <v>2210</v>
      </c>
      <c r="Y41" s="222">
        <f t="shared" ref="Y41" si="44">+N41-X41</f>
        <v>15290</v>
      </c>
      <c r="Z41" s="186"/>
      <c r="AA41" s="176"/>
      <c r="AB41" s="224"/>
      <c r="AC41" s="225"/>
      <c r="AD41" s="225"/>
      <c r="AE41" s="225"/>
      <c r="AF41" s="225"/>
      <c r="AG41" s="176"/>
      <c r="AH41" s="229"/>
      <c r="AI41" s="225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</row>
    <row r="42" spans="1:98" s="154" customFormat="1" ht="30.75" customHeight="1">
      <c r="A42" s="216">
        <v>22</v>
      </c>
      <c r="B42" s="537" t="s">
        <v>314</v>
      </c>
      <c r="C42" s="214">
        <v>17500</v>
      </c>
      <c r="D42" s="504"/>
      <c r="E42" s="496">
        <f t="shared" si="39"/>
        <v>17500</v>
      </c>
      <c r="F42" s="197"/>
      <c r="G42" s="233">
        <f>+C42</f>
        <v>17500</v>
      </c>
      <c r="H42" s="222">
        <v>0</v>
      </c>
      <c r="I42" s="222"/>
      <c r="J42" s="222"/>
      <c r="K42" s="222"/>
      <c r="L42" s="222"/>
      <c r="M42" s="222"/>
      <c r="N42" s="482">
        <f t="shared" si="41"/>
        <v>17500</v>
      </c>
      <c r="O42" s="222">
        <f t="shared" ref="O42" si="45">+C42*12%</f>
        <v>2100</v>
      </c>
      <c r="P42" s="592">
        <v>0</v>
      </c>
      <c r="Q42" s="222">
        <v>0</v>
      </c>
      <c r="R42" s="222">
        <v>110</v>
      </c>
      <c r="S42" s="222">
        <v>0</v>
      </c>
      <c r="T42" s="222"/>
      <c r="U42" s="222">
        <v>0</v>
      </c>
      <c r="V42" s="222"/>
      <c r="W42" s="161"/>
      <c r="X42" s="222">
        <f t="shared" si="43"/>
        <v>2210</v>
      </c>
      <c r="Y42" s="222">
        <f t="shared" ref="Y42" si="46">+N42-X42</f>
        <v>15290</v>
      </c>
      <c r="Z42" s="169"/>
      <c r="AA42" s="176"/>
      <c r="AB42" s="134"/>
      <c r="AC42" s="225"/>
      <c r="AD42" s="225"/>
      <c r="AE42" s="225"/>
      <c r="AF42" s="225"/>
      <c r="AG42" s="176"/>
      <c r="AH42" s="229"/>
      <c r="AI42" s="225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</row>
    <row r="43" spans="1:98" s="137" customFormat="1" ht="33" hidden="1" customHeight="1">
      <c r="A43" s="591"/>
      <c r="B43" s="226"/>
      <c r="C43" s="222"/>
      <c r="D43" s="199"/>
      <c r="E43" s="199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559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4"/>
      <c r="AB43" s="224"/>
      <c r="AC43" s="225"/>
      <c r="AD43" s="225"/>
      <c r="AE43" s="225"/>
      <c r="AF43" s="225"/>
      <c r="AG43" s="225"/>
      <c r="AH43" s="229"/>
      <c r="AI43" s="225"/>
    </row>
    <row r="44" spans="1:98" s="137" customFormat="1" ht="24.75" hidden="1" customHeight="1">
      <c r="A44" s="591"/>
      <c r="B44" s="226"/>
      <c r="C44" s="222"/>
      <c r="D44" s="199"/>
      <c r="E44" s="199"/>
      <c r="F44" s="222"/>
      <c r="G44" s="222">
        <f t="shared" ref="G44" si="47">SUM(C44:F44)</f>
        <v>0</v>
      </c>
      <c r="H44" s="222">
        <f t="shared" ref="H44" si="48">+G44*34%</f>
        <v>0</v>
      </c>
      <c r="I44" s="222"/>
      <c r="J44" s="222"/>
      <c r="K44" s="222"/>
      <c r="L44" s="222"/>
      <c r="M44" s="222"/>
      <c r="N44" s="222">
        <f t="shared" ref="N44" si="49">SUM(G44:M44)</f>
        <v>0</v>
      </c>
      <c r="O44" s="222"/>
      <c r="P44" s="559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4"/>
      <c r="AB44" s="224"/>
      <c r="AC44" s="225"/>
      <c r="AD44" s="225"/>
      <c r="AE44" s="225"/>
      <c r="AF44" s="225"/>
      <c r="AG44" s="225"/>
      <c r="AH44" s="229"/>
      <c r="AI44" s="225"/>
    </row>
    <row r="45" spans="1:98" s="137" customFormat="1" ht="36" hidden="1" customHeight="1">
      <c r="A45" s="591"/>
      <c r="B45" s="226"/>
      <c r="C45" s="222"/>
      <c r="D45" s="199"/>
      <c r="E45" s="199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559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4"/>
      <c r="AB45" s="224"/>
      <c r="AC45" s="225"/>
      <c r="AD45" s="225"/>
      <c r="AE45" s="225"/>
      <c r="AF45" s="225"/>
      <c r="AG45" s="225"/>
      <c r="AH45" s="229"/>
      <c r="AI45" s="225"/>
    </row>
    <row r="46" spans="1:98" s="137" customFormat="1" ht="36" hidden="1" customHeight="1">
      <c r="A46" s="591"/>
      <c r="B46" s="226"/>
      <c r="C46" s="326"/>
      <c r="D46" s="505"/>
      <c r="E46" s="505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565"/>
      <c r="Q46" s="326"/>
      <c r="R46" s="326"/>
      <c r="S46" s="326"/>
      <c r="T46" s="326"/>
      <c r="U46" s="326"/>
      <c r="V46" s="326"/>
      <c r="W46" s="326"/>
      <c r="X46" s="326"/>
      <c r="Y46" s="326"/>
      <c r="Z46" s="222"/>
      <c r="AA46" s="224"/>
      <c r="AB46" s="224"/>
      <c r="AC46" s="225"/>
      <c r="AD46" s="225"/>
      <c r="AE46" s="225"/>
      <c r="AF46" s="225"/>
      <c r="AG46" s="225"/>
      <c r="AH46" s="229"/>
      <c r="AI46" s="225"/>
    </row>
    <row r="47" spans="1:98" s="137" customFormat="1" hidden="1">
      <c r="A47" s="359"/>
      <c r="B47" s="226"/>
      <c r="C47" s="326"/>
      <c r="D47" s="505"/>
      <c r="E47" s="505"/>
      <c r="F47" s="326"/>
      <c r="G47" s="327"/>
      <c r="H47" s="326"/>
      <c r="I47" s="326"/>
      <c r="J47" s="326"/>
      <c r="K47" s="326"/>
      <c r="L47" s="326"/>
      <c r="M47" s="326"/>
      <c r="N47" s="483"/>
      <c r="O47" s="326"/>
      <c r="P47" s="565"/>
      <c r="Q47" s="326"/>
      <c r="R47" s="326"/>
      <c r="S47" s="326"/>
      <c r="T47" s="326"/>
      <c r="U47" s="326"/>
      <c r="V47" s="326"/>
      <c r="W47" s="328"/>
      <c r="X47" s="326"/>
      <c r="Y47" s="326"/>
      <c r="Z47" s="228"/>
      <c r="AA47" s="224"/>
      <c r="AB47" s="224"/>
      <c r="AC47" s="225"/>
      <c r="AD47" s="225"/>
      <c r="AE47" s="225"/>
      <c r="AF47" s="225"/>
      <c r="AG47" s="225"/>
      <c r="AH47" s="229"/>
      <c r="AI47" s="225"/>
    </row>
    <row r="48" spans="1:98" s="177" customFormat="1" ht="36" customHeight="1" thickBot="1">
      <c r="A48" s="178"/>
      <c r="B48" s="281"/>
      <c r="C48" s="285">
        <f>SUM(C35:C42)</f>
        <v>177900</v>
      </c>
      <c r="D48" s="506"/>
      <c r="E48" s="506"/>
      <c r="F48" s="285">
        <f t="shared" ref="F48:M48" si="50">+F35+F36+F37+F39+F40+F41+F43+F45</f>
        <v>0</v>
      </c>
      <c r="G48" s="285">
        <f>+G35+G36+G37+G40+G41+G42</f>
        <v>177900</v>
      </c>
      <c r="H48" s="285">
        <f>+H35+H36+H37+H40+H41+H42</f>
        <v>54234</v>
      </c>
      <c r="I48" s="285">
        <f t="shared" si="50"/>
        <v>0</v>
      </c>
      <c r="J48" s="285">
        <f t="shared" si="50"/>
        <v>3000</v>
      </c>
      <c r="K48" s="285">
        <f t="shared" si="50"/>
        <v>10512</v>
      </c>
      <c r="L48" s="285">
        <f t="shared" si="50"/>
        <v>0</v>
      </c>
      <c r="M48" s="285">
        <f t="shared" si="50"/>
        <v>0</v>
      </c>
      <c r="N48" s="484">
        <f>+N35+N36+N37+N40+N41+N42</f>
        <v>245646</v>
      </c>
      <c r="O48" s="132">
        <f>+O35+O36+O37+O40+O41+O42</f>
        <v>27856.080000000002</v>
      </c>
      <c r="P48" s="132">
        <f t="shared" ref="P48:X48" si="51">+P35+P36+P37+P40+P41+P42</f>
        <v>0</v>
      </c>
      <c r="Q48" s="132">
        <f t="shared" si="51"/>
        <v>0</v>
      </c>
      <c r="R48" s="132">
        <f t="shared" si="51"/>
        <v>660</v>
      </c>
      <c r="S48" s="132">
        <f t="shared" si="51"/>
        <v>0</v>
      </c>
      <c r="T48" s="132">
        <f t="shared" si="51"/>
        <v>0</v>
      </c>
      <c r="U48" s="132">
        <f t="shared" si="51"/>
        <v>618</v>
      </c>
      <c r="V48" s="132">
        <f t="shared" si="51"/>
        <v>0</v>
      </c>
      <c r="W48" s="132">
        <f t="shared" si="51"/>
        <v>0</v>
      </c>
      <c r="X48" s="132">
        <f t="shared" si="51"/>
        <v>29134.080000000002</v>
      </c>
      <c r="Y48" s="132">
        <f>SUM(Y35:Y42)</f>
        <v>216511.91999999998</v>
      </c>
      <c r="Z48" s="186"/>
      <c r="AA48" s="176"/>
      <c r="AB48" s="282"/>
      <c r="AC48" s="225"/>
      <c r="AD48" s="225"/>
      <c r="AE48" s="176"/>
      <c r="AF48" s="225"/>
      <c r="AG48" s="176"/>
      <c r="AH48" s="176"/>
      <c r="AI48" s="176"/>
      <c r="AJ48" s="528"/>
      <c r="AK48" s="528"/>
      <c r="AL48" s="528"/>
      <c r="AM48" s="528"/>
      <c r="AN48" s="528"/>
      <c r="AO48" s="528"/>
      <c r="AP48" s="528"/>
      <c r="AQ48" s="528"/>
      <c r="AR48" s="528"/>
      <c r="AS48" s="528"/>
      <c r="AT48" s="528"/>
      <c r="AU48" s="528"/>
      <c r="AV48" s="528"/>
      <c r="AW48" s="528"/>
      <c r="AX48" s="528"/>
      <c r="AY48" s="528"/>
      <c r="AZ48" s="528"/>
      <c r="BA48" s="528"/>
      <c r="BB48" s="528"/>
      <c r="BC48" s="528"/>
      <c r="BD48" s="528"/>
      <c r="BE48" s="528"/>
      <c r="BF48" s="528"/>
      <c r="BG48" s="528"/>
      <c r="BH48" s="528"/>
      <c r="BI48" s="528"/>
      <c r="BJ48" s="528"/>
      <c r="BK48" s="528"/>
      <c r="BL48" s="528"/>
      <c r="BM48" s="528"/>
      <c r="BN48" s="528"/>
      <c r="BO48" s="528"/>
      <c r="BP48" s="528"/>
      <c r="BQ48" s="528"/>
      <c r="BR48" s="528"/>
      <c r="BS48" s="528"/>
      <c r="BT48" s="528"/>
      <c r="BU48" s="528"/>
      <c r="BV48" s="528"/>
      <c r="BW48" s="528"/>
      <c r="BX48" s="528"/>
      <c r="BY48" s="528"/>
      <c r="BZ48" s="528"/>
      <c r="CA48" s="528"/>
      <c r="CB48" s="528"/>
      <c r="CC48" s="528"/>
      <c r="CD48" s="528"/>
      <c r="CE48" s="528"/>
      <c r="CF48" s="528"/>
      <c r="CG48" s="528"/>
      <c r="CH48" s="528"/>
      <c r="CI48" s="528"/>
      <c r="CJ48" s="528"/>
      <c r="CK48" s="528"/>
      <c r="CL48" s="528"/>
      <c r="CM48" s="528"/>
      <c r="CN48" s="528"/>
      <c r="CO48" s="528"/>
      <c r="CP48" s="528"/>
      <c r="CQ48" s="528"/>
      <c r="CR48" s="528"/>
      <c r="CS48" s="528"/>
      <c r="CT48" s="528"/>
    </row>
    <row r="49" spans="1:98" s="177" customFormat="1" ht="36" customHeight="1" thickTop="1">
      <c r="A49" s="178"/>
      <c r="B49" s="186"/>
      <c r="C49" s="133"/>
      <c r="D49" s="187"/>
      <c r="E49" s="187"/>
      <c r="F49" s="133"/>
      <c r="G49" s="235"/>
      <c r="H49" s="165"/>
      <c r="I49" s="133"/>
      <c r="J49" s="133"/>
      <c r="K49" s="133"/>
      <c r="L49" s="133"/>
      <c r="M49" s="133"/>
      <c r="N49" s="284"/>
      <c r="O49" s="133"/>
      <c r="P49" s="133"/>
      <c r="Q49" s="133"/>
      <c r="R49" s="133"/>
      <c r="S49" s="133"/>
      <c r="T49" s="133"/>
      <c r="U49" s="133"/>
      <c r="V49" s="133"/>
      <c r="W49" s="181"/>
      <c r="X49" s="133"/>
      <c r="Y49" s="182"/>
      <c r="Z49" s="186"/>
      <c r="AA49" s="176"/>
      <c r="AB49" s="176"/>
      <c r="AC49" s="225"/>
      <c r="AD49" s="225"/>
      <c r="AE49" s="176"/>
      <c r="AF49" s="225"/>
      <c r="AG49" s="176"/>
      <c r="AH49" s="176"/>
      <c r="AI49" s="176"/>
      <c r="AJ49" s="528"/>
      <c r="AK49" s="528"/>
      <c r="AL49" s="528"/>
      <c r="AM49" s="528"/>
      <c r="AN49" s="528"/>
      <c r="AO49" s="528"/>
      <c r="AP49" s="528"/>
      <c r="AQ49" s="528"/>
      <c r="AR49" s="528"/>
      <c r="AS49" s="528"/>
      <c r="AT49" s="528"/>
      <c r="AU49" s="528"/>
      <c r="AV49" s="528"/>
      <c r="AW49" s="528"/>
      <c r="AX49" s="528"/>
      <c r="AY49" s="528"/>
      <c r="AZ49" s="528"/>
      <c r="BA49" s="528"/>
      <c r="BB49" s="528"/>
      <c r="BC49" s="528"/>
      <c r="BD49" s="528"/>
      <c r="BE49" s="528"/>
      <c r="BF49" s="528"/>
      <c r="BG49" s="528"/>
      <c r="BH49" s="528"/>
      <c r="BI49" s="528"/>
      <c r="BJ49" s="528"/>
      <c r="BK49" s="528"/>
      <c r="BL49" s="528"/>
      <c r="BM49" s="528"/>
      <c r="BN49" s="528"/>
      <c r="BO49" s="528"/>
      <c r="BP49" s="528"/>
      <c r="BQ49" s="528"/>
      <c r="BR49" s="528"/>
      <c r="BS49" s="528"/>
      <c r="BT49" s="528"/>
      <c r="BU49" s="528"/>
      <c r="BV49" s="528"/>
      <c r="BW49" s="528"/>
      <c r="BX49" s="528"/>
      <c r="BY49" s="528"/>
      <c r="BZ49" s="528"/>
      <c r="CA49" s="528"/>
      <c r="CB49" s="528"/>
      <c r="CC49" s="528"/>
      <c r="CD49" s="528"/>
      <c r="CE49" s="528"/>
      <c r="CF49" s="528"/>
      <c r="CG49" s="528"/>
      <c r="CH49" s="528"/>
      <c r="CI49" s="528"/>
      <c r="CJ49" s="528"/>
      <c r="CK49" s="528"/>
      <c r="CL49" s="528"/>
      <c r="CM49" s="528"/>
      <c r="CN49" s="528"/>
      <c r="CO49" s="528"/>
      <c r="CP49" s="528"/>
      <c r="CQ49" s="528"/>
      <c r="CR49" s="528"/>
      <c r="CS49" s="528"/>
      <c r="CT49" s="528"/>
    </row>
    <row r="50" spans="1:98" s="201" customFormat="1" ht="36" customHeight="1" thickBot="1">
      <c r="A50" s="199"/>
      <c r="B50" s="186" t="s">
        <v>28</v>
      </c>
      <c r="C50" s="200">
        <f>+C14+C23+C34+C48</f>
        <v>1304407</v>
      </c>
      <c r="D50" s="507">
        <f>+D14+D23+D34+D48</f>
        <v>0</v>
      </c>
      <c r="E50" s="200">
        <f>+E7+E9+E11+E13+E17+E18+E19+E21+E22+E25+E27+E28+E30+E31+E32+E33+E35+E36+E37+E40+E41+E42</f>
        <v>1844033</v>
      </c>
      <c r="F50" s="200">
        <f>+F14+F23+F34+F48</f>
        <v>0</v>
      </c>
      <c r="G50" s="200">
        <f>+G48+G34+G23+G14+0</f>
        <v>1304407</v>
      </c>
      <c r="H50" s="200">
        <f>+H48+H34+H23+H14+0</f>
        <v>539626</v>
      </c>
      <c r="I50" s="200">
        <f t="shared" ref="I50:M50" si="52">+I14+I23+I34+I48</f>
        <v>56808</v>
      </c>
      <c r="J50" s="200">
        <f t="shared" si="52"/>
        <v>18000</v>
      </c>
      <c r="K50" s="200">
        <f t="shared" si="52"/>
        <v>68985</v>
      </c>
      <c r="L50" s="200">
        <f t="shared" si="52"/>
        <v>0</v>
      </c>
      <c r="M50" s="200">
        <f t="shared" si="52"/>
        <v>0</v>
      </c>
      <c r="N50" s="198">
        <f>+N14+N23+N34+N48</f>
        <v>1987826</v>
      </c>
      <c r="O50" s="200">
        <f>+O14+O23+O34+O48</f>
        <v>221283.96000000002</v>
      </c>
      <c r="P50" s="200">
        <f t="shared" ref="P50:Y50" si="53">+P14+P23+P34+P48</f>
        <v>150500</v>
      </c>
      <c r="Q50" s="200">
        <f t="shared" si="53"/>
        <v>495</v>
      </c>
      <c r="R50" s="200">
        <f t="shared" si="53"/>
        <v>2420</v>
      </c>
      <c r="S50" s="200">
        <f t="shared" si="53"/>
        <v>0</v>
      </c>
      <c r="T50" s="200">
        <f t="shared" si="53"/>
        <v>3693</v>
      </c>
      <c r="U50" s="200">
        <f t="shared" si="53"/>
        <v>3370</v>
      </c>
      <c r="V50" s="200">
        <f t="shared" si="53"/>
        <v>0</v>
      </c>
      <c r="W50" s="200">
        <f t="shared" si="53"/>
        <v>0</v>
      </c>
      <c r="X50" s="200">
        <f t="shared" si="53"/>
        <v>381761.96</v>
      </c>
      <c r="Y50" s="200">
        <f t="shared" si="53"/>
        <v>1606064.0399999998</v>
      </c>
      <c r="Z50" s="183"/>
      <c r="AA50" s="142"/>
      <c r="AB50" s="142"/>
      <c r="AC50" s="225"/>
      <c r="AD50" s="225"/>
      <c r="AE50" s="225"/>
      <c r="AF50" s="225"/>
      <c r="AG50" s="225"/>
      <c r="AH50" s="225"/>
      <c r="AI50" s="225"/>
      <c r="AJ50" s="529"/>
      <c r="AK50" s="529"/>
      <c r="AL50" s="529"/>
      <c r="AM50" s="529"/>
      <c r="AN50" s="529"/>
      <c r="AO50" s="529"/>
      <c r="AP50" s="529"/>
      <c r="AQ50" s="529"/>
      <c r="AR50" s="529"/>
      <c r="AS50" s="529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29"/>
      <c r="BG50" s="529"/>
      <c r="BH50" s="529"/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29"/>
      <c r="BT50" s="529"/>
      <c r="BU50" s="529"/>
      <c r="BV50" s="529"/>
      <c r="BW50" s="529"/>
      <c r="BX50" s="529"/>
      <c r="BY50" s="529"/>
      <c r="BZ50" s="529"/>
      <c r="CA50" s="529"/>
      <c r="CB50" s="529"/>
      <c r="CC50" s="529"/>
      <c r="CD50" s="529"/>
      <c r="CE50" s="529"/>
      <c r="CF50" s="529"/>
      <c r="CG50" s="529"/>
      <c r="CH50" s="529"/>
      <c r="CI50" s="529"/>
      <c r="CJ50" s="529"/>
      <c r="CK50" s="529"/>
      <c r="CL50" s="529"/>
      <c r="CM50" s="529"/>
      <c r="CN50" s="529"/>
      <c r="CO50" s="529"/>
      <c r="CP50" s="529"/>
      <c r="CQ50" s="529"/>
      <c r="CR50" s="529"/>
      <c r="CS50" s="529"/>
      <c r="CT50" s="529"/>
    </row>
    <row r="51" spans="1:98" ht="21" customHeight="1" thickTop="1">
      <c r="A51" s="202"/>
      <c r="B51" s="169"/>
      <c r="D51" s="508"/>
      <c r="E51" s="508"/>
      <c r="F51" s="597">
        <f>+G50+H50</f>
        <v>1844033</v>
      </c>
      <c r="G51" s="597"/>
      <c r="H51" s="597"/>
      <c r="I51" s="203"/>
      <c r="J51" s="203"/>
      <c r="K51" s="203"/>
      <c r="L51" s="596">
        <f>+L50+M50</f>
        <v>0</v>
      </c>
      <c r="M51" s="596"/>
      <c r="N51" s="169"/>
      <c r="O51" s="169"/>
      <c r="P51" s="169"/>
      <c r="Q51" s="169"/>
      <c r="R51" s="203"/>
      <c r="S51" s="203"/>
      <c r="T51" s="203"/>
      <c r="U51" s="203"/>
      <c r="V51" s="203"/>
      <c r="W51" s="171"/>
      <c r="X51" s="203"/>
      <c r="Y51" s="203"/>
      <c r="Z51" s="203"/>
      <c r="AA51" s="142"/>
      <c r="AB51" s="142"/>
      <c r="AC51" s="225"/>
    </row>
    <row r="52" spans="1:98" s="137" customFormat="1" hidden="1">
      <c r="A52" s="199"/>
      <c r="B52" s="169"/>
      <c r="C52" s="169"/>
      <c r="D52" s="510"/>
      <c r="E52" s="510"/>
      <c r="F52" s="509"/>
      <c r="G52" s="238"/>
      <c r="H52" s="509"/>
      <c r="I52" s="169"/>
      <c r="J52" s="169"/>
      <c r="K52" s="169"/>
      <c r="L52" s="509"/>
      <c r="M52" s="509"/>
      <c r="N52" s="169"/>
      <c r="O52" s="169"/>
      <c r="P52" s="169"/>
      <c r="Q52" s="169"/>
      <c r="R52" s="169"/>
      <c r="S52" s="169"/>
      <c r="T52" s="169"/>
      <c r="U52" s="169"/>
      <c r="V52" s="169"/>
      <c r="W52" s="171"/>
      <c r="X52" s="169"/>
      <c r="Y52" s="169"/>
      <c r="Z52" s="169"/>
      <c r="AA52" s="142"/>
      <c r="AB52" s="142"/>
      <c r="AC52" s="225"/>
      <c r="AD52" s="225"/>
      <c r="AE52" s="225"/>
      <c r="AF52" s="225"/>
      <c r="AG52" s="225"/>
      <c r="AH52" s="225"/>
      <c r="AI52" s="225"/>
    </row>
    <row r="53" spans="1:98" s="269" customFormat="1">
      <c r="A53" s="215">
        <v>21</v>
      </c>
      <c r="B53" s="169" t="s">
        <v>114</v>
      </c>
      <c r="C53" s="222">
        <v>112400</v>
      </c>
      <c r="D53" s="199"/>
      <c r="E53" s="199"/>
      <c r="F53" s="222"/>
      <c r="G53" s="233">
        <f t="shared" ref="G53" si="54">SUM(C53:F53)</f>
        <v>112400</v>
      </c>
      <c r="H53" s="222">
        <f>+G53*46%</f>
        <v>51704</v>
      </c>
      <c r="I53" s="222">
        <f>+C53*18%</f>
        <v>20232</v>
      </c>
      <c r="J53" s="222">
        <v>1000</v>
      </c>
      <c r="K53" s="222">
        <f>(3600)+(3600*46%)</f>
        <v>5256</v>
      </c>
      <c r="L53" s="222">
        <v>0</v>
      </c>
      <c r="M53" s="222">
        <v>0</v>
      </c>
      <c r="N53" s="227">
        <f>SUM(G53:M53)</f>
        <v>190592</v>
      </c>
      <c r="O53" s="222">
        <f>ROUND((G53+H53)*12%,0)</f>
        <v>19692</v>
      </c>
      <c r="P53" s="558"/>
      <c r="Q53" s="222">
        <v>60</v>
      </c>
      <c r="R53" s="222"/>
      <c r="S53" s="222">
        <v>0</v>
      </c>
      <c r="T53" s="222"/>
      <c r="U53" s="222">
        <v>0</v>
      </c>
      <c r="V53" s="222"/>
      <c r="W53" s="161"/>
      <c r="X53" s="222">
        <f>SUM(O53:V53)</f>
        <v>19752</v>
      </c>
      <c r="Y53" s="222">
        <f>+N53-X53</f>
        <v>170840</v>
      </c>
      <c r="Z53" s="270"/>
      <c r="AC53" s="225"/>
      <c r="AD53" s="225"/>
      <c r="AF53" s="225"/>
      <c r="AH53" s="268"/>
    </row>
    <row r="54" spans="1:98" s="225" customFormat="1" ht="36" customHeight="1">
      <c r="A54" s="224"/>
      <c r="B54" s="205"/>
      <c r="C54" s="206"/>
      <c r="D54" s="206"/>
      <c r="E54" s="206"/>
      <c r="F54" s="224"/>
      <c r="G54" s="206">
        <f>+F51*12%</f>
        <v>221283.96</v>
      </c>
      <c r="H54" s="206"/>
      <c r="I54" s="224"/>
      <c r="J54" s="206"/>
      <c r="K54" s="206"/>
      <c r="L54" s="224"/>
      <c r="M54" s="206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55"/>
      <c r="AA54" s="224"/>
      <c r="AB54" s="224"/>
      <c r="AH54" s="229"/>
    </row>
    <row r="55" spans="1:98" s="225" customFormat="1" ht="36" customHeight="1">
      <c r="A55" s="213"/>
      <c r="B55" s="212"/>
      <c r="C55" s="135"/>
      <c r="D55" s="206"/>
      <c r="E55" s="206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224"/>
      <c r="AA55" s="224"/>
      <c r="AB55" s="224"/>
      <c r="AD55" s="156"/>
      <c r="AH55" s="229"/>
      <c r="AL55" s="156"/>
    </row>
    <row r="56" spans="1:98" s="225" customFormat="1" ht="27" customHeight="1">
      <c r="A56" s="213"/>
      <c r="B56" s="205"/>
      <c r="C56" s="224"/>
      <c r="D56" s="206"/>
      <c r="E56" s="206"/>
      <c r="F56" s="224"/>
      <c r="G56" s="224"/>
      <c r="H56" s="224"/>
      <c r="I56" s="224"/>
      <c r="J56" s="224"/>
      <c r="K56" s="224"/>
      <c r="L56" s="224"/>
      <c r="M56" s="224"/>
      <c r="N56" s="224"/>
      <c r="P56" s="569"/>
      <c r="Q56" s="135"/>
      <c r="R56" s="135"/>
      <c r="S56" s="135"/>
      <c r="T56" s="135"/>
      <c r="U56" s="135"/>
      <c r="V56" s="135"/>
      <c r="W56" s="135"/>
      <c r="X56" s="135"/>
      <c r="Y56" s="135"/>
      <c r="Z56" s="224"/>
      <c r="AA56" s="224"/>
      <c r="AB56" s="224"/>
      <c r="AD56" s="156"/>
      <c r="AH56" s="229"/>
      <c r="AL56" s="156"/>
    </row>
    <row r="57" spans="1:98" s="225" customFormat="1">
      <c r="A57" s="204"/>
      <c r="C57" s="224"/>
      <c r="D57" s="204"/>
      <c r="E57" s="204"/>
      <c r="H57" s="224"/>
      <c r="I57" s="224"/>
      <c r="J57" s="224"/>
      <c r="K57" s="224"/>
      <c r="N57" s="135"/>
      <c r="O57" s="209"/>
      <c r="P57" s="570"/>
      <c r="Q57" s="209"/>
      <c r="R57" s="209"/>
      <c r="S57" s="209"/>
      <c r="T57" s="209"/>
      <c r="U57" s="209"/>
      <c r="V57" s="209"/>
      <c r="W57" s="209"/>
      <c r="X57" s="209"/>
      <c r="Y57" s="209"/>
      <c r="Z57" s="224"/>
      <c r="AA57" s="224"/>
      <c r="AB57" s="224"/>
      <c r="AD57" s="156"/>
      <c r="AH57" s="229"/>
      <c r="AL57" s="156"/>
    </row>
    <row r="58" spans="1:98" s="225" customFormat="1">
      <c r="A58" s="204"/>
      <c r="D58" s="204"/>
      <c r="E58" s="204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</row>
    <row r="59" spans="1:98" s="225" customFormat="1">
      <c r="A59" s="206"/>
      <c r="B59" s="229"/>
      <c r="D59" s="204"/>
      <c r="E59" s="204"/>
    </row>
    <row r="60" spans="1:98" s="225" customFormat="1">
      <c r="A60" s="204"/>
      <c r="D60" s="204"/>
      <c r="E60" s="204"/>
    </row>
    <row r="61" spans="1:98" s="225" customFormat="1">
      <c r="A61" s="204"/>
      <c r="D61" s="204"/>
      <c r="E61" s="204"/>
    </row>
    <row r="62" spans="1:98" s="225" customFormat="1">
      <c r="A62" s="204"/>
      <c r="B62" s="205"/>
      <c r="C62" s="224"/>
      <c r="D62" s="206"/>
      <c r="E62" s="206"/>
      <c r="F62" s="224"/>
      <c r="G62" s="224"/>
      <c r="H62" s="224"/>
      <c r="I62" s="224"/>
      <c r="J62" s="224"/>
      <c r="K62" s="224"/>
      <c r="L62" s="224"/>
      <c r="M62" s="224"/>
      <c r="N62" s="224"/>
    </row>
    <row r="63" spans="1:98" s="225" customFormat="1">
      <c r="D63" s="204"/>
      <c r="E63" s="204"/>
      <c r="N63" s="217"/>
    </row>
    <row r="64" spans="1:98" s="225" customFormat="1">
      <c r="D64" s="204"/>
      <c r="E64" s="204"/>
      <c r="F64" s="224"/>
      <c r="G64" s="224"/>
      <c r="H64" s="224"/>
      <c r="I64" s="224"/>
      <c r="J64" s="224"/>
      <c r="K64" s="224"/>
      <c r="L64" s="224"/>
      <c r="M64" s="217"/>
      <c r="N64" s="224"/>
    </row>
    <row r="65" spans="1:5" s="225" customFormat="1">
      <c r="D65" s="204"/>
      <c r="E65" s="204"/>
    </row>
    <row r="66" spans="1:5" s="225" customFormat="1">
      <c r="D66" s="204"/>
      <c r="E66" s="204"/>
    </row>
    <row r="67" spans="1:5" s="225" customFormat="1">
      <c r="D67" s="204"/>
      <c r="E67" s="204"/>
    </row>
    <row r="68" spans="1:5" s="225" customFormat="1">
      <c r="A68" s="204"/>
      <c r="D68" s="204"/>
      <c r="E68" s="204"/>
    </row>
    <row r="69" spans="1:5" s="225" customFormat="1">
      <c r="A69" s="204"/>
      <c r="D69" s="204"/>
      <c r="E69" s="204"/>
    </row>
    <row r="70" spans="1:5" s="225" customFormat="1">
      <c r="A70" s="204"/>
      <c r="D70" s="204"/>
      <c r="E70" s="204"/>
    </row>
    <row r="71" spans="1:5" s="225" customFormat="1">
      <c r="A71" s="204"/>
      <c r="D71" s="204"/>
      <c r="E71" s="204"/>
    </row>
    <row r="72" spans="1:5" s="225" customFormat="1">
      <c r="A72" s="204"/>
      <c r="D72" s="204"/>
      <c r="E72" s="204"/>
    </row>
    <row r="73" spans="1:5" s="225" customFormat="1">
      <c r="A73" s="204"/>
      <c r="D73" s="204"/>
      <c r="E73" s="204"/>
    </row>
    <row r="74" spans="1:5" s="225" customFormat="1">
      <c r="A74" s="204"/>
      <c r="D74" s="204"/>
      <c r="E74" s="204"/>
    </row>
    <row r="75" spans="1:5" s="225" customFormat="1">
      <c r="A75" s="204"/>
      <c r="D75" s="204"/>
      <c r="E75" s="204"/>
    </row>
    <row r="76" spans="1:5" s="225" customFormat="1">
      <c r="A76" s="204"/>
      <c r="D76" s="204"/>
      <c r="E76" s="204"/>
    </row>
    <row r="77" spans="1:5" s="225" customFormat="1">
      <c r="A77" s="204"/>
      <c r="D77" s="204"/>
      <c r="E77" s="204"/>
    </row>
    <row r="78" spans="1:5" s="225" customFormat="1">
      <c r="A78" s="204"/>
      <c r="D78" s="204"/>
      <c r="E78" s="204"/>
    </row>
    <row r="79" spans="1:5" s="225" customFormat="1">
      <c r="A79" s="204"/>
      <c r="D79" s="204"/>
      <c r="E79" s="204"/>
    </row>
    <row r="80" spans="1:5" s="225" customFormat="1">
      <c r="A80" s="204"/>
      <c r="D80" s="204"/>
      <c r="E80" s="204"/>
    </row>
    <row r="81" spans="1:98" s="225" customFormat="1">
      <c r="A81" s="204"/>
      <c r="D81" s="204"/>
      <c r="E81" s="204"/>
    </row>
    <row r="82" spans="1:98" s="225" customFormat="1">
      <c r="A82" s="204"/>
      <c r="D82" s="204"/>
      <c r="E82" s="204"/>
    </row>
    <row r="83" spans="1:98" s="225" customFormat="1">
      <c r="A83" s="204"/>
      <c r="D83" s="204"/>
      <c r="E83" s="204"/>
    </row>
    <row r="84" spans="1:98" s="225" customFormat="1">
      <c r="A84" s="204"/>
      <c r="D84" s="204"/>
      <c r="E84" s="204"/>
    </row>
    <row r="85" spans="1:98" s="225" customFormat="1">
      <c r="A85" s="204"/>
      <c r="D85" s="204"/>
      <c r="E85" s="204"/>
    </row>
    <row r="86" spans="1:98" s="225" customFormat="1">
      <c r="A86" s="204"/>
      <c r="D86" s="204"/>
      <c r="E86" s="204"/>
    </row>
    <row r="87" spans="1:98" s="225" customFormat="1">
      <c r="A87" s="204"/>
      <c r="D87" s="204"/>
      <c r="E87" s="204"/>
    </row>
    <row r="88" spans="1:98" s="225" customFormat="1">
      <c r="A88" s="204"/>
      <c r="D88" s="204"/>
      <c r="E88" s="204"/>
    </row>
    <row r="89" spans="1:98" s="225" customFormat="1">
      <c r="A89" s="204"/>
      <c r="D89" s="204"/>
      <c r="E89" s="204"/>
    </row>
    <row r="90" spans="1:98" s="225" customFormat="1">
      <c r="A90" s="204"/>
      <c r="D90" s="204"/>
      <c r="E90" s="204"/>
    </row>
    <row r="91" spans="1:98" s="225" customFormat="1">
      <c r="A91" s="204"/>
      <c r="D91" s="204"/>
      <c r="E91" s="204"/>
    </row>
    <row r="92" spans="1:98" s="225" customFormat="1">
      <c r="A92" s="204"/>
      <c r="D92" s="204"/>
      <c r="E92" s="204"/>
    </row>
    <row r="93" spans="1:98" s="142" customFormat="1">
      <c r="A93" s="204"/>
      <c r="C93" s="225"/>
      <c r="D93" s="204"/>
      <c r="E93" s="204"/>
      <c r="G93" s="239"/>
      <c r="H93" s="225"/>
      <c r="P93" s="557"/>
      <c r="Q93" s="225"/>
      <c r="T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5"/>
      <c r="AM93" s="225"/>
      <c r="AN93" s="225"/>
      <c r="AO93" s="225"/>
      <c r="AP93" s="225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</row>
    <row r="94" spans="1:98" s="142" customFormat="1">
      <c r="A94" s="204"/>
      <c r="C94" s="225"/>
      <c r="D94" s="204"/>
      <c r="E94" s="204"/>
      <c r="G94" s="239"/>
      <c r="H94" s="225"/>
      <c r="P94" s="557"/>
      <c r="Q94" s="225"/>
      <c r="T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5"/>
      <c r="AM94" s="225"/>
      <c r="AN94" s="225"/>
      <c r="AO94" s="225"/>
      <c r="AP94" s="225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</row>
    <row r="95" spans="1:98" s="142" customFormat="1">
      <c r="A95" s="204"/>
      <c r="C95" s="225"/>
      <c r="D95" s="204"/>
      <c r="E95" s="204"/>
      <c r="G95" s="239"/>
      <c r="H95" s="225"/>
      <c r="P95" s="557"/>
      <c r="Q95" s="225"/>
      <c r="T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</row>
    <row r="96" spans="1:98" s="142" customFormat="1">
      <c r="A96" s="204"/>
      <c r="C96" s="225"/>
      <c r="D96" s="204"/>
      <c r="E96" s="204"/>
      <c r="G96" s="239"/>
      <c r="H96" s="225"/>
      <c r="P96" s="557"/>
      <c r="Q96" s="225"/>
      <c r="T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5"/>
      <c r="AM96" s="225"/>
      <c r="AN96" s="225"/>
      <c r="AO96" s="225"/>
      <c r="AP96" s="225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</row>
    <row r="97" spans="1:98" s="142" customFormat="1">
      <c r="A97" s="204"/>
      <c r="C97" s="225"/>
      <c r="D97" s="204"/>
      <c r="E97" s="204"/>
      <c r="G97" s="239"/>
      <c r="H97" s="225"/>
      <c r="P97" s="557"/>
      <c r="Q97" s="225"/>
      <c r="T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</row>
    <row r="98" spans="1:98">
      <c r="C98" s="225"/>
      <c r="D98" s="204"/>
      <c r="E98" s="204"/>
      <c r="F98" s="142"/>
      <c r="G98" s="239"/>
      <c r="H98" s="225"/>
      <c r="I98" s="142"/>
      <c r="J98" s="142"/>
      <c r="K98" s="142"/>
      <c r="L98" s="142"/>
      <c r="M98" s="142"/>
      <c r="N98" s="208"/>
      <c r="O98" s="142"/>
      <c r="P98" s="557"/>
      <c r="Q98" s="225"/>
      <c r="R98" s="142"/>
      <c r="S98" s="142"/>
      <c r="T98" s="225"/>
      <c r="U98" s="142"/>
      <c r="V98" s="142"/>
      <c r="W98" s="207"/>
      <c r="X98" s="142"/>
      <c r="Y98" s="142"/>
      <c r="Z98" s="142"/>
    </row>
    <row r="99" spans="1:98">
      <c r="C99" s="225"/>
      <c r="D99" s="204"/>
      <c r="E99" s="204"/>
      <c r="F99" s="142"/>
      <c r="G99" s="239"/>
      <c r="H99" s="225"/>
      <c r="I99" s="142"/>
      <c r="J99" s="142"/>
      <c r="K99" s="142"/>
      <c r="L99" s="142"/>
      <c r="M99" s="142"/>
      <c r="N99" s="208"/>
      <c r="O99" s="142"/>
      <c r="P99" s="557"/>
      <c r="Q99" s="225"/>
      <c r="R99" s="142"/>
      <c r="S99" s="142"/>
      <c r="T99" s="225"/>
      <c r="U99" s="142"/>
      <c r="V99" s="142"/>
      <c r="W99" s="207"/>
      <c r="X99" s="142"/>
      <c r="Y99" s="142"/>
      <c r="Z99" s="142"/>
    </row>
  </sheetData>
  <mergeCells count="3">
    <mergeCell ref="L51:M51"/>
    <mergeCell ref="F51:H51"/>
    <mergeCell ref="A4:Z4"/>
  </mergeCells>
  <phoneticPr fontId="2" type="noConversion"/>
  <pageMargins left="0.2" right="0.21" top="0.19685039370078741" bottom="0.36" header="0.23" footer="0.19685039370078741"/>
  <pageSetup paperSize="9" scale="50" fitToHeight="2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1:Q19"/>
  <sheetViews>
    <sheetView workbookViewId="0">
      <selection activeCell="I19" sqref="I19"/>
    </sheetView>
  </sheetViews>
  <sheetFormatPr defaultRowHeight="15"/>
  <cols>
    <col min="1" max="2" width="9.140625" style="219"/>
    <col min="3" max="3" width="9.28515625" style="219" bestFit="1" customWidth="1"/>
    <col min="4" max="4" width="11.7109375" style="219" customWidth="1"/>
    <col min="5" max="5" width="9.85546875" style="219" bestFit="1" customWidth="1"/>
    <col min="6" max="16384" width="9.140625" style="219"/>
  </cols>
  <sheetData>
    <row r="1" spans="3:17" ht="18.75">
      <c r="C1" s="463" t="s">
        <v>253</v>
      </c>
      <c r="D1" s="463" t="s">
        <v>254</v>
      </c>
      <c r="E1" s="463"/>
      <c r="I1" s="219" t="s">
        <v>255</v>
      </c>
      <c r="J1" s="219" t="s">
        <v>256</v>
      </c>
      <c r="L1" s="219" t="s">
        <v>257</v>
      </c>
      <c r="N1" s="219" t="s">
        <v>258</v>
      </c>
      <c r="O1" s="219" t="s">
        <v>259</v>
      </c>
      <c r="P1" s="219" t="s">
        <v>260</v>
      </c>
      <c r="Q1" s="219" t="s">
        <v>261</v>
      </c>
    </row>
    <row r="2" spans="3:17" ht="18.75">
      <c r="C2" s="463" t="s">
        <v>262</v>
      </c>
      <c r="D2" s="463"/>
      <c r="E2" s="463" t="s">
        <v>263</v>
      </c>
      <c r="H2" s="219" t="s">
        <v>264</v>
      </c>
      <c r="I2" s="219">
        <f>123100*12+668331+22000</f>
        <v>2167531</v>
      </c>
      <c r="J2" s="219">
        <v>200000</v>
      </c>
      <c r="L2" s="219">
        <f>+I2-J2</f>
        <v>1967531</v>
      </c>
      <c r="N2" s="219">
        <v>420000</v>
      </c>
      <c r="O2" s="219">
        <f>200000+160000</f>
        <v>360000</v>
      </c>
      <c r="P2" s="219">
        <f>+N2-O2</f>
        <v>60000</v>
      </c>
      <c r="Q2" s="219">
        <f>+P2/3</f>
        <v>20000</v>
      </c>
    </row>
    <row r="3" spans="3:17" ht="18.75">
      <c r="C3" s="463">
        <v>16</v>
      </c>
      <c r="D3" s="463"/>
      <c r="E3" s="463">
        <v>304200</v>
      </c>
      <c r="H3" s="219" t="s">
        <v>265</v>
      </c>
      <c r="I3" s="219">
        <f>1409300+3360+618115+12060+136910+133895+73284+4000</f>
        <v>2390924</v>
      </c>
      <c r="J3" s="219">
        <v>200000</v>
      </c>
      <c r="L3" s="219">
        <f>+I3-J3</f>
        <v>2190924</v>
      </c>
      <c r="N3" s="219">
        <v>490000</v>
      </c>
      <c r="O3" s="219">
        <f>25000*9+185500</f>
        <v>410500</v>
      </c>
      <c r="P3" s="219">
        <f>+N3-O3</f>
        <v>79500</v>
      </c>
      <c r="Q3" s="219">
        <f>+P3/3</f>
        <v>26500</v>
      </c>
    </row>
    <row r="4" spans="3:17" ht="18.75">
      <c r="C4" s="463"/>
      <c r="D4" s="463"/>
      <c r="E4" s="463"/>
      <c r="H4" s="219" t="s">
        <v>266</v>
      </c>
      <c r="I4" s="219">
        <f>111852*4+115202+118574*6+109398+61884+9816+503611+3360+2500</f>
        <v>1964623</v>
      </c>
      <c r="J4" s="219">
        <v>200000</v>
      </c>
      <c r="L4" s="219">
        <f>+I4-J4</f>
        <v>1764623</v>
      </c>
      <c r="N4" s="219">
        <v>350000</v>
      </c>
      <c r="O4" s="219">
        <f>96000+21000+151500</f>
        <v>268500</v>
      </c>
      <c r="P4" s="219">
        <f>+N4-O4</f>
        <v>81500</v>
      </c>
      <c r="Q4" s="219">
        <f>+P4/3</f>
        <v>27166.666666666668</v>
      </c>
    </row>
    <row r="5" spans="3:17" ht="18.75">
      <c r="C5" s="463">
        <v>17</v>
      </c>
      <c r="D5" s="463"/>
      <c r="E5" s="463">
        <v>335400</v>
      </c>
    </row>
    <row r="6" spans="3:17" ht="18.75">
      <c r="C6" s="463"/>
      <c r="D6" s="463"/>
      <c r="E6" s="463"/>
    </row>
    <row r="7" spans="3:17" ht="18.75">
      <c r="C7" s="463">
        <v>18</v>
      </c>
      <c r="D7" s="463"/>
      <c r="E7" s="463">
        <v>366600</v>
      </c>
      <c r="H7" s="219" t="s">
        <v>267</v>
      </c>
      <c r="L7" s="219">
        <v>1566000</v>
      </c>
    </row>
    <row r="8" spans="3:17" ht="18.75">
      <c r="C8" s="463"/>
      <c r="D8" s="463"/>
      <c r="E8" s="463"/>
    </row>
    <row r="9" spans="3:17" ht="18.75">
      <c r="C9" s="463">
        <v>20</v>
      </c>
      <c r="D9" s="463"/>
      <c r="E9" s="463">
        <v>429000</v>
      </c>
    </row>
    <row r="10" spans="3:17" ht="18.75">
      <c r="C10" s="463"/>
      <c r="D10" s="463"/>
      <c r="E10" s="463"/>
    </row>
    <row r="11" spans="3:17" ht="18.75">
      <c r="C11" s="463">
        <v>22</v>
      </c>
      <c r="D11" s="463"/>
      <c r="E11" s="463">
        <v>491400</v>
      </c>
    </row>
    <row r="12" spans="3:17" ht="18.75">
      <c r="C12" s="463"/>
      <c r="D12" s="463"/>
      <c r="E12" s="463"/>
    </row>
    <row r="13" spans="3:17" ht="18.75">
      <c r="C13" s="463">
        <v>24</v>
      </c>
      <c r="D13" s="463"/>
      <c r="E13" s="463">
        <v>554000</v>
      </c>
    </row>
    <row r="14" spans="3:17" ht="18.75">
      <c r="C14" s="463"/>
      <c r="D14" s="463"/>
      <c r="E14" s="463"/>
    </row>
    <row r="15" spans="3:17" ht="18.75">
      <c r="C15" s="463">
        <v>26</v>
      </c>
      <c r="D15" s="463"/>
      <c r="E15" s="463">
        <v>616500</v>
      </c>
    </row>
    <row r="16" spans="3:17" ht="18.75">
      <c r="C16" s="463"/>
      <c r="D16" s="463"/>
      <c r="E16" s="463"/>
    </row>
    <row r="17" spans="3:5" ht="18.75">
      <c r="C17" s="463">
        <v>28</v>
      </c>
      <c r="D17" s="463"/>
      <c r="E17" s="463">
        <v>678600</v>
      </c>
    </row>
    <row r="18" spans="3:5" ht="18.75">
      <c r="C18" s="463"/>
      <c r="D18" s="463"/>
      <c r="E18" s="463"/>
    </row>
    <row r="19" spans="3:5" ht="18.75">
      <c r="C19" s="463">
        <v>30</v>
      </c>
      <c r="D19" s="463"/>
      <c r="E19" s="463">
        <v>741000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3"/>
  <sheetViews>
    <sheetView showGridLines="0" zoomScale="70" zoomScaleNormal="115" workbookViewId="0">
      <selection activeCell="T39" sqref="T39:AM39"/>
    </sheetView>
  </sheetViews>
  <sheetFormatPr defaultRowHeight="12.75"/>
  <cols>
    <col min="1" max="39" width="3.5703125" style="289" customWidth="1"/>
    <col min="40" max="50" width="3.7109375" style="289" customWidth="1"/>
    <col min="51" max="256" width="9.140625" style="289"/>
    <col min="257" max="295" width="3.5703125" style="289" customWidth="1"/>
    <col min="296" max="306" width="3.7109375" style="289" customWidth="1"/>
    <col min="307" max="512" width="9.140625" style="289"/>
    <col min="513" max="551" width="3.5703125" style="289" customWidth="1"/>
    <col min="552" max="562" width="3.7109375" style="289" customWidth="1"/>
    <col min="563" max="768" width="9.140625" style="289"/>
    <col min="769" max="807" width="3.5703125" style="289" customWidth="1"/>
    <col min="808" max="818" width="3.7109375" style="289" customWidth="1"/>
    <col min="819" max="1024" width="9.140625" style="289"/>
    <col min="1025" max="1063" width="3.5703125" style="289" customWidth="1"/>
    <col min="1064" max="1074" width="3.7109375" style="289" customWidth="1"/>
    <col min="1075" max="1280" width="9.140625" style="289"/>
    <col min="1281" max="1319" width="3.5703125" style="289" customWidth="1"/>
    <col min="1320" max="1330" width="3.7109375" style="289" customWidth="1"/>
    <col min="1331" max="1536" width="9.140625" style="289"/>
    <col min="1537" max="1575" width="3.5703125" style="289" customWidth="1"/>
    <col min="1576" max="1586" width="3.7109375" style="289" customWidth="1"/>
    <col min="1587" max="1792" width="9.140625" style="289"/>
    <col min="1793" max="1831" width="3.5703125" style="289" customWidth="1"/>
    <col min="1832" max="1842" width="3.7109375" style="289" customWidth="1"/>
    <col min="1843" max="2048" width="9.140625" style="289"/>
    <col min="2049" max="2087" width="3.5703125" style="289" customWidth="1"/>
    <col min="2088" max="2098" width="3.7109375" style="289" customWidth="1"/>
    <col min="2099" max="2304" width="9.140625" style="289"/>
    <col min="2305" max="2343" width="3.5703125" style="289" customWidth="1"/>
    <col min="2344" max="2354" width="3.7109375" style="289" customWidth="1"/>
    <col min="2355" max="2560" width="9.140625" style="289"/>
    <col min="2561" max="2599" width="3.5703125" style="289" customWidth="1"/>
    <col min="2600" max="2610" width="3.7109375" style="289" customWidth="1"/>
    <col min="2611" max="2816" width="9.140625" style="289"/>
    <col min="2817" max="2855" width="3.5703125" style="289" customWidth="1"/>
    <col min="2856" max="2866" width="3.7109375" style="289" customWidth="1"/>
    <col min="2867" max="3072" width="9.140625" style="289"/>
    <col min="3073" max="3111" width="3.5703125" style="289" customWidth="1"/>
    <col min="3112" max="3122" width="3.7109375" style="289" customWidth="1"/>
    <col min="3123" max="3328" width="9.140625" style="289"/>
    <col min="3329" max="3367" width="3.5703125" style="289" customWidth="1"/>
    <col min="3368" max="3378" width="3.7109375" style="289" customWidth="1"/>
    <col min="3379" max="3584" width="9.140625" style="289"/>
    <col min="3585" max="3623" width="3.5703125" style="289" customWidth="1"/>
    <col min="3624" max="3634" width="3.7109375" style="289" customWidth="1"/>
    <col min="3635" max="3840" width="9.140625" style="289"/>
    <col min="3841" max="3879" width="3.5703125" style="289" customWidth="1"/>
    <col min="3880" max="3890" width="3.7109375" style="289" customWidth="1"/>
    <col min="3891" max="4096" width="9.140625" style="289"/>
    <col min="4097" max="4135" width="3.5703125" style="289" customWidth="1"/>
    <col min="4136" max="4146" width="3.7109375" style="289" customWidth="1"/>
    <col min="4147" max="4352" width="9.140625" style="289"/>
    <col min="4353" max="4391" width="3.5703125" style="289" customWidth="1"/>
    <col min="4392" max="4402" width="3.7109375" style="289" customWidth="1"/>
    <col min="4403" max="4608" width="9.140625" style="289"/>
    <col min="4609" max="4647" width="3.5703125" style="289" customWidth="1"/>
    <col min="4648" max="4658" width="3.7109375" style="289" customWidth="1"/>
    <col min="4659" max="4864" width="9.140625" style="289"/>
    <col min="4865" max="4903" width="3.5703125" style="289" customWidth="1"/>
    <col min="4904" max="4914" width="3.7109375" style="289" customWidth="1"/>
    <col min="4915" max="5120" width="9.140625" style="289"/>
    <col min="5121" max="5159" width="3.5703125" style="289" customWidth="1"/>
    <col min="5160" max="5170" width="3.7109375" style="289" customWidth="1"/>
    <col min="5171" max="5376" width="9.140625" style="289"/>
    <col min="5377" max="5415" width="3.5703125" style="289" customWidth="1"/>
    <col min="5416" max="5426" width="3.7109375" style="289" customWidth="1"/>
    <col min="5427" max="5632" width="9.140625" style="289"/>
    <col min="5633" max="5671" width="3.5703125" style="289" customWidth="1"/>
    <col min="5672" max="5682" width="3.7109375" style="289" customWidth="1"/>
    <col min="5683" max="5888" width="9.140625" style="289"/>
    <col min="5889" max="5927" width="3.5703125" style="289" customWidth="1"/>
    <col min="5928" max="5938" width="3.7109375" style="289" customWidth="1"/>
    <col min="5939" max="6144" width="9.140625" style="289"/>
    <col min="6145" max="6183" width="3.5703125" style="289" customWidth="1"/>
    <col min="6184" max="6194" width="3.7109375" style="289" customWidth="1"/>
    <col min="6195" max="6400" width="9.140625" style="289"/>
    <col min="6401" max="6439" width="3.5703125" style="289" customWidth="1"/>
    <col min="6440" max="6450" width="3.7109375" style="289" customWidth="1"/>
    <col min="6451" max="6656" width="9.140625" style="289"/>
    <col min="6657" max="6695" width="3.5703125" style="289" customWidth="1"/>
    <col min="6696" max="6706" width="3.7109375" style="289" customWidth="1"/>
    <col min="6707" max="6912" width="9.140625" style="289"/>
    <col min="6913" max="6951" width="3.5703125" style="289" customWidth="1"/>
    <col min="6952" max="6962" width="3.7109375" style="289" customWidth="1"/>
    <col min="6963" max="7168" width="9.140625" style="289"/>
    <col min="7169" max="7207" width="3.5703125" style="289" customWidth="1"/>
    <col min="7208" max="7218" width="3.7109375" style="289" customWidth="1"/>
    <col min="7219" max="7424" width="9.140625" style="289"/>
    <col min="7425" max="7463" width="3.5703125" style="289" customWidth="1"/>
    <col min="7464" max="7474" width="3.7109375" style="289" customWidth="1"/>
    <col min="7475" max="7680" width="9.140625" style="289"/>
    <col min="7681" max="7719" width="3.5703125" style="289" customWidth="1"/>
    <col min="7720" max="7730" width="3.7109375" style="289" customWidth="1"/>
    <col min="7731" max="7936" width="9.140625" style="289"/>
    <col min="7937" max="7975" width="3.5703125" style="289" customWidth="1"/>
    <col min="7976" max="7986" width="3.7109375" style="289" customWidth="1"/>
    <col min="7987" max="8192" width="9.140625" style="289"/>
    <col min="8193" max="8231" width="3.5703125" style="289" customWidth="1"/>
    <col min="8232" max="8242" width="3.7109375" style="289" customWidth="1"/>
    <col min="8243" max="8448" width="9.140625" style="289"/>
    <col min="8449" max="8487" width="3.5703125" style="289" customWidth="1"/>
    <col min="8488" max="8498" width="3.7109375" style="289" customWidth="1"/>
    <col min="8499" max="8704" width="9.140625" style="289"/>
    <col min="8705" max="8743" width="3.5703125" style="289" customWidth="1"/>
    <col min="8744" max="8754" width="3.7109375" style="289" customWidth="1"/>
    <col min="8755" max="8960" width="9.140625" style="289"/>
    <col min="8961" max="8999" width="3.5703125" style="289" customWidth="1"/>
    <col min="9000" max="9010" width="3.7109375" style="289" customWidth="1"/>
    <col min="9011" max="9216" width="9.140625" style="289"/>
    <col min="9217" max="9255" width="3.5703125" style="289" customWidth="1"/>
    <col min="9256" max="9266" width="3.7109375" style="289" customWidth="1"/>
    <col min="9267" max="9472" width="9.140625" style="289"/>
    <col min="9473" max="9511" width="3.5703125" style="289" customWidth="1"/>
    <col min="9512" max="9522" width="3.7109375" style="289" customWidth="1"/>
    <col min="9523" max="9728" width="9.140625" style="289"/>
    <col min="9729" max="9767" width="3.5703125" style="289" customWidth="1"/>
    <col min="9768" max="9778" width="3.7109375" style="289" customWidth="1"/>
    <col min="9779" max="9984" width="9.140625" style="289"/>
    <col min="9985" max="10023" width="3.5703125" style="289" customWidth="1"/>
    <col min="10024" max="10034" width="3.7109375" style="289" customWidth="1"/>
    <col min="10035" max="10240" width="9.140625" style="289"/>
    <col min="10241" max="10279" width="3.5703125" style="289" customWidth="1"/>
    <col min="10280" max="10290" width="3.7109375" style="289" customWidth="1"/>
    <col min="10291" max="10496" width="9.140625" style="289"/>
    <col min="10497" max="10535" width="3.5703125" style="289" customWidth="1"/>
    <col min="10536" max="10546" width="3.7109375" style="289" customWidth="1"/>
    <col min="10547" max="10752" width="9.140625" style="289"/>
    <col min="10753" max="10791" width="3.5703125" style="289" customWidth="1"/>
    <col min="10792" max="10802" width="3.7109375" style="289" customWidth="1"/>
    <col min="10803" max="11008" width="9.140625" style="289"/>
    <col min="11009" max="11047" width="3.5703125" style="289" customWidth="1"/>
    <col min="11048" max="11058" width="3.7109375" style="289" customWidth="1"/>
    <col min="11059" max="11264" width="9.140625" style="289"/>
    <col min="11265" max="11303" width="3.5703125" style="289" customWidth="1"/>
    <col min="11304" max="11314" width="3.7109375" style="289" customWidth="1"/>
    <col min="11315" max="11520" width="9.140625" style="289"/>
    <col min="11521" max="11559" width="3.5703125" style="289" customWidth="1"/>
    <col min="11560" max="11570" width="3.7109375" style="289" customWidth="1"/>
    <col min="11571" max="11776" width="9.140625" style="289"/>
    <col min="11777" max="11815" width="3.5703125" style="289" customWidth="1"/>
    <col min="11816" max="11826" width="3.7109375" style="289" customWidth="1"/>
    <col min="11827" max="12032" width="9.140625" style="289"/>
    <col min="12033" max="12071" width="3.5703125" style="289" customWidth="1"/>
    <col min="12072" max="12082" width="3.7109375" style="289" customWidth="1"/>
    <col min="12083" max="12288" width="9.140625" style="289"/>
    <col min="12289" max="12327" width="3.5703125" style="289" customWidth="1"/>
    <col min="12328" max="12338" width="3.7109375" style="289" customWidth="1"/>
    <col min="12339" max="12544" width="9.140625" style="289"/>
    <col min="12545" max="12583" width="3.5703125" style="289" customWidth="1"/>
    <col min="12584" max="12594" width="3.7109375" style="289" customWidth="1"/>
    <col min="12595" max="12800" width="9.140625" style="289"/>
    <col min="12801" max="12839" width="3.5703125" style="289" customWidth="1"/>
    <col min="12840" max="12850" width="3.7109375" style="289" customWidth="1"/>
    <col min="12851" max="13056" width="9.140625" style="289"/>
    <col min="13057" max="13095" width="3.5703125" style="289" customWidth="1"/>
    <col min="13096" max="13106" width="3.7109375" style="289" customWidth="1"/>
    <col min="13107" max="13312" width="9.140625" style="289"/>
    <col min="13313" max="13351" width="3.5703125" style="289" customWidth="1"/>
    <col min="13352" max="13362" width="3.7109375" style="289" customWidth="1"/>
    <col min="13363" max="13568" width="9.140625" style="289"/>
    <col min="13569" max="13607" width="3.5703125" style="289" customWidth="1"/>
    <col min="13608" max="13618" width="3.7109375" style="289" customWidth="1"/>
    <col min="13619" max="13824" width="9.140625" style="289"/>
    <col min="13825" max="13863" width="3.5703125" style="289" customWidth="1"/>
    <col min="13864" max="13874" width="3.7109375" style="289" customWidth="1"/>
    <col min="13875" max="14080" width="9.140625" style="289"/>
    <col min="14081" max="14119" width="3.5703125" style="289" customWidth="1"/>
    <col min="14120" max="14130" width="3.7109375" style="289" customWidth="1"/>
    <col min="14131" max="14336" width="9.140625" style="289"/>
    <col min="14337" max="14375" width="3.5703125" style="289" customWidth="1"/>
    <col min="14376" max="14386" width="3.7109375" style="289" customWidth="1"/>
    <col min="14387" max="14592" width="9.140625" style="289"/>
    <col min="14593" max="14631" width="3.5703125" style="289" customWidth="1"/>
    <col min="14632" max="14642" width="3.7109375" style="289" customWidth="1"/>
    <col min="14643" max="14848" width="9.140625" style="289"/>
    <col min="14849" max="14887" width="3.5703125" style="289" customWidth="1"/>
    <col min="14888" max="14898" width="3.7109375" style="289" customWidth="1"/>
    <col min="14899" max="15104" width="9.140625" style="289"/>
    <col min="15105" max="15143" width="3.5703125" style="289" customWidth="1"/>
    <col min="15144" max="15154" width="3.7109375" style="289" customWidth="1"/>
    <col min="15155" max="15360" width="9.140625" style="289"/>
    <col min="15361" max="15399" width="3.5703125" style="289" customWidth="1"/>
    <col min="15400" max="15410" width="3.7109375" style="289" customWidth="1"/>
    <col min="15411" max="15616" width="9.140625" style="289"/>
    <col min="15617" max="15655" width="3.5703125" style="289" customWidth="1"/>
    <col min="15656" max="15666" width="3.7109375" style="289" customWidth="1"/>
    <col min="15667" max="15872" width="9.140625" style="289"/>
    <col min="15873" max="15911" width="3.5703125" style="289" customWidth="1"/>
    <col min="15912" max="15922" width="3.7109375" style="289" customWidth="1"/>
    <col min="15923" max="16128" width="9.140625" style="289"/>
    <col min="16129" max="16167" width="3.5703125" style="289" customWidth="1"/>
    <col min="16168" max="16178" width="3.7109375" style="289" customWidth="1"/>
    <col min="16179" max="16384" width="9.140625" style="289"/>
  </cols>
  <sheetData>
    <row r="1" spans="1:40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</row>
    <row r="2" spans="1:40">
      <c r="A2" s="665" t="s">
        <v>148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5"/>
      <c r="AM2" s="665"/>
      <c r="AN2" s="672"/>
    </row>
    <row r="3" spans="1:40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</row>
    <row r="4" spans="1:40" ht="15.75">
      <c r="A4" s="673" t="s">
        <v>149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673"/>
      <c r="AN4" s="674"/>
    </row>
    <row r="5" spans="1:40" ht="15.75">
      <c r="A5" s="675" t="s">
        <v>150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6"/>
      <c r="Z5" s="676"/>
      <c r="AA5" s="676"/>
      <c r="AB5" s="676"/>
      <c r="AC5" s="676"/>
      <c r="AD5" s="676"/>
      <c r="AE5" s="676"/>
      <c r="AF5" s="676"/>
      <c r="AG5" s="676"/>
      <c r="AH5" s="676"/>
      <c r="AI5" s="676"/>
      <c r="AJ5" s="676"/>
      <c r="AK5" s="676"/>
      <c r="AL5" s="676"/>
      <c r="AM5" s="676"/>
      <c r="AN5" s="676"/>
    </row>
    <row r="6" spans="1:40">
      <c r="A6" s="677" t="s">
        <v>151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7"/>
      <c r="AK6" s="677"/>
      <c r="AL6" s="677"/>
      <c r="AM6" s="677"/>
      <c r="AN6" s="677"/>
    </row>
    <row r="7" spans="1:40">
      <c r="A7" s="678" t="s">
        <v>152</v>
      </c>
      <c r="B7" s="679"/>
      <c r="C7" s="679"/>
      <c r="D7" s="679"/>
      <c r="E7" s="679"/>
      <c r="F7" s="679"/>
      <c r="G7" s="679"/>
      <c r="H7" s="679"/>
      <c r="I7" s="679"/>
      <c r="J7" s="679"/>
      <c r="K7" s="680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665" t="s">
        <v>153</v>
      </c>
      <c r="AI7" s="665"/>
      <c r="AJ7" s="665"/>
      <c r="AK7" s="665"/>
      <c r="AL7" s="665"/>
      <c r="AM7" s="665"/>
      <c r="AN7" s="288"/>
    </row>
    <row r="8" spans="1:40">
      <c r="A8" s="667" t="s">
        <v>154</v>
      </c>
      <c r="B8" s="622"/>
      <c r="C8" s="622"/>
      <c r="D8" s="622"/>
      <c r="E8" s="622"/>
      <c r="F8" s="622"/>
      <c r="G8" s="622"/>
      <c r="H8" s="622"/>
      <c r="I8" s="622"/>
      <c r="J8" s="622"/>
      <c r="K8" s="668"/>
      <c r="L8" s="290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</row>
    <row r="9" spans="1:40">
      <c r="A9" s="667" t="s">
        <v>155</v>
      </c>
      <c r="B9" s="622"/>
      <c r="C9" s="622"/>
      <c r="D9" s="622"/>
      <c r="E9" s="622"/>
      <c r="F9" s="622"/>
      <c r="G9" s="622"/>
      <c r="H9" s="622"/>
      <c r="I9" s="622"/>
      <c r="J9" s="622"/>
      <c r="K9" s="668"/>
      <c r="L9" s="288"/>
      <c r="M9" s="669" t="s">
        <v>156</v>
      </c>
      <c r="N9" s="669"/>
      <c r="O9" s="669"/>
      <c r="P9" s="669"/>
      <c r="Q9" s="669"/>
      <c r="R9" s="669"/>
      <c r="S9" s="669"/>
      <c r="T9" s="670"/>
      <c r="U9" s="291" t="s">
        <v>215</v>
      </c>
      <c r="V9" s="288"/>
      <c r="W9" s="669" t="s">
        <v>157</v>
      </c>
      <c r="X9" s="669"/>
      <c r="Y9" s="669"/>
      <c r="Z9" s="670"/>
      <c r="AA9" s="291" t="s">
        <v>238</v>
      </c>
      <c r="AB9" s="288"/>
      <c r="AC9" s="288"/>
      <c r="AD9" s="288"/>
      <c r="AE9" s="288"/>
      <c r="AF9" s="290"/>
      <c r="AG9" s="671" t="s">
        <v>158</v>
      </c>
      <c r="AH9" s="671"/>
      <c r="AI9" s="671"/>
      <c r="AJ9" s="671"/>
      <c r="AK9" s="671"/>
      <c r="AL9" s="666"/>
      <c r="AM9" s="292"/>
      <c r="AN9" s="288"/>
    </row>
    <row r="10" spans="1:40">
      <c r="A10" s="667" t="s">
        <v>159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68"/>
      <c r="L10" s="652"/>
      <c r="M10" s="653"/>
      <c r="N10" s="653"/>
      <c r="O10" s="653"/>
      <c r="P10" s="653"/>
      <c r="Q10" s="653"/>
      <c r="R10" s="653"/>
      <c r="S10" s="653"/>
      <c r="T10" s="653"/>
      <c r="U10" s="653"/>
      <c r="V10" s="653"/>
      <c r="W10" s="653"/>
      <c r="X10" s="653"/>
      <c r="Y10" s="653"/>
      <c r="Z10" s="653"/>
      <c r="AA10" s="653"/>
      <c r="AB10" s="653"/>
      <c r="AC10" s="653"/>
      <c r="AD10" s="653"/>
      <c r="AE10" s="653"/>
      <c r="AF10" s="653"/>
      <c r="AG10" s="653"/>
      <c r="AH10" s="653"/>
      <c r="AI10" s="653"/>
      <c r="AJ10" s="653"/>
      <c r="AK10" s="653"/>
      <c r="AL10" s="653"/>
      <c r="AM10" s="653"/>
      <c r="AN10" s="653"/>
    </row>
    <row r="11" spans="1:40">
      <c r="A11" s="681"/>
      <c r="B11" s="682"/>
      <c r="C11" s="682"/>
      <c r="D11" s="682"/>
      <c r="E11" s="682"/>
      <c r="F11" s="682"/>
      <c r="G11" s="682"/>
      <c r="H11" s="682"/>
      <c r="I11" s="682"/>
      <c r="J11" s="682"/>
      <c r="K11" s="683"/>
      <c r="L11" s="288"/>
      <c r="M11" s="288"/>
      <c r="N11" s="651" t="s">
        <v>160</v>
      </c>
      <c r="O11" s="651"/>
      <c r="P11" s="651"/>
      <c r="Q11" s="651"/>
      <c r="R11" s="651"/>
      <c r="S11" s="651"/>
      <c r="T11" s="651"/>
      <c r="U11" s="651"/>
      <c r="V11" s="651"/>
      <c r="W11" s="651"/>
      <c r="X11" s="655"/>
      <c r="Y11" s="292"/>
      <c r="Z11" s="292"/>
      <c r="AA11" s="292"/>
      <c r="AB11" s="292" t="s">
        <v>161</v>
      </c>
      <c r="AC11" s="292">
        <v>2</v>
      </c>
      <c r="AD11" s="292">
        <v>3</v>
      </c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</row>
    <row r="12" spans="1:40">
      <c r="A12" s="665"/>
      <c r="B12" s="665"/>
      <c r="C12" s="665"/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5"/>
      <c r="R12" s="665"/>
      <c r="S12" s="665"/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</row>
    <row r="13" spans="1:40">
      <c r="A13" s="665" t="s">
        <v>162</v>
      </c>
      <c r="B13" s="665"/>
      <c r="C13" s="654"/>
      <c r="D13" s="292" t="s">
        <v>163</v>
      </c>
      <c r="E13" s="292" t="s">
        <v>164</v>
      </c>
      <c r="F13" s="293"/>
      <c r="G13" s="292">
        <v>7</v>
      </c>
      <c r="H13" s="292">
        <v>6</v>
      </c>
      <c r="I13" s="292">
        <v>5</v>
      </c>
      <c r="J13" s="292">
        <v>6</v>
      </c>
      <c r="K13" s="292"/>
      <c r="L13" s="292"/>
      <c r="M13" s="292"/>
      <c r="N13" s="288"/>
      <c r="O13" s="628" t="s">
        <v>165</v>
      </c>
      <c r="P13" s="628"/>
      <c r="Q13" s="628"/>
      <c r="R13" s="628"/>
      <c r="S13" s="628"/>
      <c r="T13" s="628"/>
      <c r="U13" s="628"/>
      <c r="V13" s="628"/>
      <c r="W13" s="292">
        <v>1</v>
      </c>
      <c r="X13" s="292">
        <v>2</v>
      </c>
      <c r="Y13" s="294" t="s">
        <v>166</v>
      </c>
      <c r="Z13" s="288"/>
      <c r="AA13" s="288"/>
      <c r="AB13" s="288"/>
      <c r="AC13" s="288"/>
      <c r="AD13" s="288"/>
      <c r="AE13" s="288"/>
      <c r="AF13" s="288"/>
      <c r="AG13" s="628" t="s">
        <v>167</v>
      </c>
      <c r="AH13" s="628"/>
      <c r="AI13" s="628"/>
      <c r="AJ13" s="666"/>
      <c r="AK13" s="295">
        <v>0</v>
      </c>
      <c r="AL13" s="292">
        <v>1</v>
      </c>
      <c r="AM13" s="295"/>
      <c r="AN13" s="288"/>
    </row>
    <row r="14" spans="1:40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</row>
    <row r="15" spans="1:40">
      <c r="A15" s="631" t="s">
        <v>82</v>
      </c>
      <c r="B15" s="616"/>
      <c r="C15" s="616"/>
      <c r="D15" s="616"/>
      <c r="E15" s="616"/>
      <c r="F15" s="616"/>
      <c r="G15" s="616"/>
      <c r="H15" s="632"/>
      <c r="I15" s="631" t="s">
        <v>168</v>
      </c>
      <c r="J15" s="616"/>
      <c r="K15" s="616"/>
      <c r="L15" s="616"/>
      <c r="M15" s="632"/>
      <c r="N15" s="659" t="s">
        <v>169</v>
      </c>
      <c r="O15" s="660"/>
      <c r="P15" s="660"/>
      <c r="Q15" s="660"/>
      <c r="R15" s="660"/>
      <c r="S15" s="660"/>
      <c r="T15" s="661"/>
      <c r="U15" s="659" t="s">
        <v>170</v>
      </c>
      <c r="V15" s="660"/>
      <c r="W15" s="660"/>
      <c r="X15" s="660"/>
      <c r="Y15" s="660"/>
      <c r="Z15" s="660"/>
      <c r="AA15" s="661"/>
      <c r="AB15" s="631" t="s">
        <v>147</v>
      </c>
      <c r="AC15" s="616"/>
      <c r="AD15" s="632"/>
      <c r="AE15" s="631" t="s">
        <v>147</v>
      </c>
      <c r="AF15" s="616"/>
      <c r="AG15" s="632"/>
      <c r="AH15" s="631" t="s">
        <v>171</v>
      </c>
      <c r="AI15" s="616"/>
      <c r="AJ15" s="616"/>
      <c r="AK15" s="616"/>
      <c r="AL15" s="616"/>
      <c r="AM15" s="632"/>
      <c r="AN15" s="288"/>
    </row>
    <row r="16" spans="1:40">
      <c r="A16" s="650"/>
      <c r="B16" s="651"/>
      <c r="C16" s="651"/>
      <c r="D16" s="651"/>
      <c r="E16" s="651"/>
      <c r="F16" s="651"/>
      <c r="G16" s="651"/>
      <c r="H16" s="655"/>
      <c r="I16" s="650" t="s">
        <v>172</v>
      </c>
      <c r="J16" s="651"/>
      <c r="K16" s="651"/>
      <c r="L16" s="651"/>
      <c r="M16" s="655"/>
      <c r="N16" s="662"/>
      <c r="O16" s="663"/>
      <c r="P16" s="663"/>
      <c r="Q16" s="663"/>
      <c r="R16" s="663"/>
      <c r="S16" s="663"/>
      <c r="T16" s="664"/>
      <c r="U16" s="662"/>
      <c r="V16" s="663"/>
      <c r="W16" s="663"/>
      <c r="X16" s="663"/>
      <c r="Y16" s="663"/>
      <c r="Z16" s="663"/>
      <c r="AA16" s="664"/>
      <c r="AB16" s="650" t="s">
        <v>173</v>
      </c>
      <c r="AC16" s="651"/>
      <c r="AD16" s="655"/>
      <c r="AE16" s="650" t="s">
        <v>173</v>
      </c>
      <c r="AF16" s="651"/>
      <c r="AG16" s="655"/>
      <c r="AH16" s="650" t="s">
        <v>174</v>
      </c>
      <c r="AI16" s="651"/>
      <c r="AJ16" s="651"/>
      <c r="AK16" s="651"/>
      <c r="AL16" s="651"/>
      <c r="AM16" s="655"/>
      <c r="AN16" s="288"/>
    </row>
    <row r="17" spans="1:40">
      <c r="A17" s="296"/>
      <c r="B17" s="297"/>
      <c r="C17" s="297"/>
      <c r="D17" s="297"/>
      <c r="E17" s="297"/>
      <c r="F17" s="297"/>
      <c r="G17" s="297"/>
      <c r="H17" s="298"/>
      <c r="I17" s="650" t="s">
        <v>175</v>
      </c>
      <c r="J17" s="651"/>
      <c r="K17" s="651"/>
      <c r="L17" s="651"/>
      <c r="M17" s="655"/>
      <c r="N17" s="656">
        <v>3</v>
      </c>
      <c r="O17" s="657"/>
      <c r="P17" s="657"/>
      <c r="Q17" s="657"/>
      <c r="R17" s="657"/>
      <c r="S17" s="657"/>
      <c r="T17" s="658"/>
      <c r="U17" s="656">
        <v>4</v>
      </c>
      <c r="V17" s="657"/>
      <c r="W17" s="657"/>
      <c r="X17" s="657"/>
      <c r="Y17" s="657"/>
      <c r="Z17" s="657"/>
      <c r="AA17" s="658"/>
      <c r="AB17" s="650" t="s">
        <v>176</v>
      </c>
      <c r="AC17" s="651"/>
      <c r="AD17" s="655"/>
      <c r="AE17" s="650" t="s">
        <v>176</v>
      </c>
      <c r="AF17" s="651"/>
      <c r="AG17" s="655"/>
      <c r="AH17" s="652" t="s">
        <v>177</v>
      </c>
      <c r="AI17" s="653"/>
      <c r="AJ17" s="653"/>
      <c r="AK17" s="653"/>
      <c r="AL17" s="653"/>
      <c r="AM17" s="654"/>
      <c r="AN17" s="288"/>
    </row>
    <row r="18" spans="1:40">
      <c r="A18" s="296"/>
      <c r="B18" s="297"/>
      <c r="C18" s="297"/>
      <c r="D18" s="297"/>
      <c r="E18" s="297"/>
      <c r="F18" s="297"/>
      <c r="G18" s="297"/>
      <c r="H18" s="298"/>
      <c r="I18" s="288"/>
      <c r="J18" s="288"/>
      <c r="K18" s="288"/>
      <c r="L18" s="288"/>
      <c r="M18" s="288"/>
      <c r="N18" s="650" t="s">
        <v>178</v>
      </c>
      <c r="O18" s="651"/>
      <c r="P18" s="651"/>
      <c r="Q18" s="650" t="s">
        <v>179</v>
      </c>
      <c r="R18" s="651"/>
      <c r="S18" s="651"/>
      <c r="T18" s="655"/>
      <c r="U18" s="650" t="s">
        <v>180</v>
      </c>
      <c r="V18" s="651"/>
      <c r="W18" s="651"/>
      <c r="X18" s="650" t="s">
        <v>181</v>
      </c>
      <c r="Y18" s="651"/>
      <c r="Z18" s="651"/>
      <c r="AA18" s="655"/>
      <c r="AB18" s="650" t="s">
        <v>182</v>
      </c>
      <c r="AC18" s="651"/>
      <c r="AD18" s="655"/>
      <c r="AE18" s="650" t="s">
        <v>182</v>
      </c>
      <c r="AF18" s="651"/>
      <c r="AG18" s="655"/>
      <c r="AH18" s="652" t="s">
        <v>183</v>
      </c>
      <c r="AI18" s="653"/>
      <c r="AJ18" s="653"/>
      <c r="AK18" s="653"/>
      <c r="AL18" s="653"/>
      <c r="AM18" s="654"/>
      <c r="AN18" s="288"/>
    </row>
    <row r="19" spans="1:40">
      <c r="A19" s="296"/>
      <c r="B19" s="297"/>
      <c r="C19" s="297"/>
      <c r="D19" s="297"/>
      <c r="E19" s="297"/>
      <c r="F19" s="297"/>
      <c r="G19" s="297"/>
      <c r="H19" s="298"/>
      <c r="I19" s="650"/>
      <c r="J19" s="651"/>
      <c r="K19" s="651"/>
      <c r="L19" s="651"/>
      <c r="M19" s="655"/>
      <c r="N19" s="650" t="s">
        <v>184</v>
      </c>
      <c r="O19" s="651"/>
      <c r="P19" s="651"/>
      <c r="Q19" s="650" t="s">
        <v>185</v>
      </c>
      <c r="R19" s="651"/>
      <c r="S19" s="651"/>
      <c r="T19" s="655"/>
      <c r="U19" s="650" t="s">
        <v>186</v>
      </c>
      <c r="V19" s="651"/>
      <c r="W19" s="651"/>
      <c r="X19" s="650" t="s">
        <v>186</v>
      </c>
      <c r="Y19" s="651"/>
      <c r="Z19" s="651"/>
      <c r="AA19" s="655"/>
      <c r="AB19" s="650" t="s">
        <v>187</v>
      </c>
      <c r="AC19" s="651"/>
      <c r="AD19" s="655"/>
      <c r="AE19" s="650" t="s">
        <v>187</v>
      </c>
      <c r="AF19" s="651"/>
      <c r="AG19" s="655"/>
      <c r="AH19" s="652"/>
      <c r="AI19" s="653"/>
      <c r="AJ19" s="653"/>
      <c r="AK19" s="653"/>
      <c r="AL19" s="653"/>
      <c r="AM19" s="654"/>
      <c r="AN19" s="288"/>
    </row>
    <row r="20" spans="1:40">
      <c r="A20" s="296"/>
      <c r="B20" s="297"/>
      <c r="C20" s="297"/>
      <c r="D20" s="297"/>
      <c r="E20" s="297"/>
      <c r="F20" s="297"/>
      <c r="G20" s="297"/>
      <c r="H20" s="298"/>
      <c r="I20" s="296"/>
      <c r="J20" s="297"/>
      <c r="K20" s="297"/>
      <c r="L20" s="297"/>
      <c r="M20" s="298"/>
      <c r="N20" s="650" t="s">
        <v>188</v>
      </c>
      <c r="O20" s="651"/>
      <c r="P20" s="651"/>
      <c r="Q20" s="296"/>
      <c r="R20" s="297"/>
      <c r="S20" s="297"/>
      <c r="T20" s="298"/>
      <c r="U20" s="296"/>
      <c r="V20" s="297"/>
      <c r="W20" s="297"/>
      <c r="X20" s="296"/>
      <c r="Y20" s="297"/>
      <c r="Z20" s="297"/>
      <c r="AA20" s="298"/>
      <c r="AB20" s="288"/>
      <c r="AC20" s="288"/>
      <c r="AD20" s="299"/>
      <c r="AE20" s="288"/>
      <c r="AF20" s="288"/>
      <c r="AG20" s="288"/>
      <c r="AH20" s="652"/>
      <c r="AI20" s="653"/>
      <c r="AJ20" s="653"/>
      <c r="AK20" s="653"/>
      <c r="AL20" s="653"/>
      <c r="AM20" s="654"/>
      <c r="AN20" s="288"/>
    </row>
    <row r="21" spans="1:40">
      <c r="A21" s="633">
        <v>1</v>
      </c>
      <c r="B21" s="634"/>
      <c r="C21" s="634"/>
      <c r="D21" s="634"/>
      <c r="E21" s="634"/>
      <c r="F21" s="634"/>
      <c r="G21" s="634"/>
      <c r="H21" s="635"/>
      <c r="I21" s="633">
        <v>2</v>
      </c>
      <c r="J21" s="634"/>
      <c r="K21" s="634"/>
      <c r="L21" s="634"/>
      <c r="M21" s="635"/>
      <c r="N21" s="633"/>
      <c r="O21" s="634"/>
      <c r="P21" s="634"/>
      <c r="Q21" s="633"/>
      <c r="R21" s="634"/>
      <c r="S21" s="634"/>
      <c r="T21" s="635"/>
      <c r="U21" s="633"/>
      <c r="V21" s="634"/>
      <c r="W21" s="634"/>
      <c r="X21" s="633"/>
      <c r="Y21" s="634"/>
      <c r="Z21" s="634"/>
      <c r="AA21" s="635"/>
      <c r="AB21" s="633">
        <v>5</v>
      </c>
      <c r="AC21" s="634"/>
      <c r="AD21" s="635"/>
      <c r="AE21" s="633">
        <v>6</v>
      </c>
      <c r="AF21" s="634"/>
      <c r="AG21" s="635"/>
      <c r="AH21" s="300"/>
      <c r="AI21" s="301"/>
      <c r="AJ21" s="301"/>
      <c r="AK21" s="301"/>
      <c r="AL21" s="301"/>
      <c r="AM21" s="302"/>
      <c r="AN21" s="288"/>
    </row>
    <row r="22" spans="1:40" ht="5.0999999999999996" customHeight="1">
      <c r="A22" s="303"/>
      <c r="B22" s="304"/>
      <c r="C22" s="304"/>
      <c r="D22" s="304"/>
      <c r="E22" s="304"/>
      <c r="F22" s="304"/>
      <c r="G22" s="304"/>
      <c r="H22" s="305"/>
      <c r="I22" s="303"/>
      <c r="J22" s="304"/>
      <c r="K22" s="304"/>
      <c r="L22" s="304"/>
      <c r="M22" s="305"/>
      <c r="N22" s="306"/>
      <c r="O22" s="307"/>
      <c r="P22" s="308"/>
      <c r="Q22" s="306"/>
      <c r="R22" s="307"/>
      <c r="S22" s="307"/>
      <c r="T22" s="308"/>
      <c r="U22" s="306"/>
      <c r="V22" s="307"/>
      <c r="W22" s="308"/>
      <c r="X22" s="306"/>
      <c r="Y22" s="307"/>
      <c r="Z22" s="307"/>
      <c r="AA22" s="308"/>
      <c r="AB22" s="306"/>
      <c r="AC22" s="307"/>
      <c r="AD22" s="308"/>
      <c r="AE22" s="306"/>
      <c r="AF22" s="307"/>
      <c r="AG22" s="308"/>
      <c r="AH22" s="290"/>
      <c r="AI22" s="290"/>
      <c r="AJ22" s="290"/>
      <c r="AK22" s="290"/>
      <c r="AL22" s="290"/>
      <c r="AM22" s="299"/>
      <c r="AN22" s="288"/>
    </row>
    <row r="23" spans="1:40">
      <c r="A23" s="640" t="s">
        <v>189</v>
      </c>
      <c r="B23" s="641"/>
      <c r="C23" s="641"/>
      <c r="D23" s="641"/>
      <c r="E23" s="641"/>
      <c r="F23" s="641"/>
      <c r="G23" s="641"/>
      <c r="H23" s="649"/>
      <c r="I23" s="643">
        <f>+'NEW EPF SHEET'!T10</f>
        <v>2008137</v>
      </c>
      <c r="J23" s="644"/>
      <c r="K23" s="644"/>
      <c r="L23" s="644"/>
      <c r="M23" s="645"/>
      <c r="N23" s="636">
        <v>205713</v>
      </c>
      <c r="O23" s="637"/>
      <c r="P23" s="638"/>
      <c r="Q23" s="636">
        <f>181963+0</f>
        <v>181963</v>
      </c>
      <c r="R23" s="637"/>
      <c r="S23" s="637"/>
      <c r="T23" s="638"/>
      <c r="U23" s="636">
        <f>+N23</f>
        <v>205713</v>
      </c>
      <c r="V23" s="637"/>
      <c r="W23" s="638"/>
      <c r="X23" s="636">
        <f>+Q23</f>
        <v>181963</v>
      </c>
      <c r="Y23" s="637"/>
      <c r="Z23" s="637"/>
      <c r="AA23" s="638"/>
      <c r="AB23" s="636">
        <f>+'NEW EPF SHEET'!U16</f>
        <v>10040.684999999999</v>
      </c>
      <c r="AC23" s="637"/>
      <c r="AD23" s="638"/>
      <c r="AE23" s="636">
        <f>+AB23</f>
        <v>10040.684999999999</v>
      </c>
      <c r="AF23" s="637"/>
      <c r="AG23" s="638"/>
      <c r="AH23" s="292">
        <v>0</v>
      </c>
      <c r="AI23" s="292"/>
      <c r="AJ23" s="292">
        <v>0</v>
      </c>
      <c r="AK23" s="292">
        <v>1</v>
      </c>
      <c r="AL23" s="292">
        <v>2</v>
      </c>
      <c r="AM23" s="292">
        <v>3</v>
      </c>
    </row>
    <row r="24" spans="1:40" ht="5.0999999999999996" customHeight="1">
      <c r="A24" s="300"/>
      <c r="B24" s="301"/>
      <c r="C24" s="301"/>
      <c r="D24" s="301"/>
      <c r="E24" s="301"/>
      <c r="F24" s="301"/>
      <c r="G24" s="301"/>
      <c r="H24" s="302"/>
      <c r="I24" s="300"/>
      <c r="J24" s="301"/>
      <c r="K24" s="301"/>
      <c r="L24" s="301"/>
      <c r="M24" s="302"/>
      <c r="N24" s="300"/>
      <c r="O24" s="301"/>
      <c r="P24" s="302"/>
      <c r="Q24" s="300"/>
      <c r="R24" s="301"/>
      <c r="S24" s="301"/>
      <c r="T24" s="302"/>
      <c r="U24" s="300"/>
      <c r="V24" s="301"/>
      <c r="W24" s="302"/>
      <c r="X24" s="300"/>
      <c r="Y24" s="301"/>
      <c r="Z24" s="301"/>
      <c r="AA24" s="302"/>
      <c r="AB24" s="300"/>
      <c r="AC24" s="301"/>
      <c r="AD24" s="302"/>
      <c r="AE24" s="300"/>
      <c r="AF24" s="301"/>
      <c r="AG24" s="302"/>
      <c r="AH24" s="301"/>
      <c r="AI24" s="301"/>
      <c r="AJ24" s="301"/>
      <c r="AK24" s="301"/>
      <c r="AL24" s="301"/>
      <c r="AM24" s="302"/>
    </row>
    <row r="25" spans="1:40" ht="5.0999999999999996" customHeight="1">
      <c r="A25" s="309"/>
      <c r="B25" s="290"/>
      <c r="C25" s="290"/>
      <c r="D25" s="290"/>
      <c r="E25" s="290"/>
      <c r="F25" s="290"/>
      <c r="G25" s="290"/>
      <c r="H25" s="310"/>
      <c r="I25" s="309"/>
      <c r="J25" s="290"/>
      <c r="K25" s="290"/>
      <c r="L25" s="290"/>
      <c r="M25" s="299"/>
      <c r="N25" s="309"/>
      <c r="O25" s="290"/>
      <c r="P25" s="299"/>
      <c r="Q25" s="309"/>
      <c r="R25" s="290"/>
      <c r="S25" s="290"/>
      <c r="T25" s="299"/>
      <c r="U25" s="309"/>
      <c r="V25" s="290"/>
      <c r="W25" s="299"/>
      <c r="X25" s="309"/>
      <c r="Y25" s="290"/>
      <c r="Z25" s="290"/>
      <c r="AA25" s="299"/>
      <c r="AB25" s="309"/>
      <c r="AC25" s="290"/>
      <c r="AD25" s="299"/>
      <c r="AE25" s="309"/>
      <c r="AF25" s="290"/>
      <c r="AG25" s="299"/>
      <c r="AH25" s="290"/>
      <c r="AI25" s="290"/>
      <c r="AJ25" s="290"/>
      <c r="AK25" s="290"/>
      <c r="AL25" s="290"/>
      <c r="AM25" s="299"/>
    </row>
    <row r="26" spans="1:40">
      <c r="A26" s="640" t="s">
        <v>190</v>
      </c>
      <c r="B26" s="641"/>
      <c r="C26" s="641"/>
      <c r="D26" s="641"/>
      <c r="E26" s="641"/>
      <c r="F26" s="641"/>
      <c r="G26" s="641"/>
      <c r="H26" s="642"/>
      <c r="I26" s="643">
        <f>+I23</f>
        <v>2008137</v>
      </c>
      <c r="J26" s="644"/>
      <c r="K26" s="644"/>
      <c r="L26" s="644"/>
      <c r="M26" s="645"/>
      <c r="N26" s="646" t="s">
        <v>191</v>
      </c>
      <c r="O26" s="647"/>
      <c r="P26" s="648"/>
      <c r="Q26" s="636">
        <f>+'NEW EPF SHEET'!V16</f>
        <v>21250</v>
      </c>
      <c r="R26" s="637"/>
      <c r="S26" s="637"/>
      <c r="T26" s="638"/>
      <c r="U26" s="646" t="s">
        <v>191</v>
      </c>
      <c r="V26" s="647"/>
      <c r="W26" s="648"/>
      <c r="X26" s="636">
        <f>+Q26</f>
        <v>21250</v>
      </c>
      <c r="Y26" s="637"/>
      <c r="Z26" s="637"/>
      <c r="AA26" s="638"/>
      <c r="AB26" s="646" t="s">
        <v>191</v>
      </c>
      <c r="AC26" s="647"/>
      <c r="AD26" s="648"/>
      <c r="AE26" s="646" t="s">
        <v>191</v>
      </c>
      <c r="AF26" s="647"/>
      <c r="AG26" s="648"/>
      <c r="AH26" s="292">
        <v>0</v>
      </c>
      <c r="AI26" s="292"/>
      <c r="AJ26" s="292">
        <v>0</v>
      </c>
      <c r="AK26" s="292">
        <v>1</v>
      </c>
      <c r="AL26" s="292">
        <v>2</v>
      </c>
      <c r="AM26" s="292">
        <v>3</v>
      </c>
    </row>
    <row r="27" spans="1:40" ht="5.0999999999999996" customHeight="1">
      <c r="A27" s="300"/>
      <c r="B27" s="301"/>
      <c r="C27" s="301"/>
      <c r="D27" s="301"/>
      <c r="E27" s="301"/>
      <c r="F27" s="301"/>
      <c r="G27" s="301"/>
      <c r="H27" s="302"/>
      <c r="I27" s="300"/>
      <c r="J27" s="301"/>
      <c r="K27" s="301"/>
      <c r="L27" s="301"/>
      <c r="M27" s="302"/>
      <c r="N27" s="300"/>
      <c r="O27" s="301"/>
      <c r="P27" s="302"/>
      <c r="Q27" s="300"/>
      <c r="R27" s="301"/>
      <c r="S27" s="301"/>
      <c r="T27" s="302"/>
      <c r="U27" s="300"/>
      <c r="V27" s="301"/>
      <c r="W27" s="302"/>
      <c r="X27" s="300"/>
      <c r="Y27" s="301"/>
      <c r="Z27" s="301"/>
      <c r="AA27" s="302"/>
      <c r="AB27" s="300"/>
      <c r="AC27" s="301"/>
      <c r="AD27" s="302"/>
      <c r="AE27" s="300"/>
      <c r="AF27" s="301"/>
      <c r="AG27" s="302"/>
      <c r="AH27" s="301"/>
      <c r="AI27" s="301"/>
      <c r="AJ27" s="301"/>
      <c r="AK27" s="301"/>
      <c r="AL27" s="301"/>
      <c r="AM27" s="302"/>
    </row>
    <row r="28" spans="1:40" ht="5.0999999999999996" customHeight="1">
      <c r="A28" s="309"/>
      <c r="B28" s="290"/>
      <c r="C28" s="290"/>
      <c r="D28" s="290"/>
      <c r="E28" s="290"/>
      <c r="F28" s="290"/>
      <c r="G28" s="290"/>
      <c r="H28" s="299"/>
      <c r="I28" s="309"/>
      <c r="J28" s="290"/>
      <c r="K28" s="290"/>
      <c r="L28" s="290"/>
      <c r="M28" s="299"/>
      <c r="N28" s="309"/>
      <c r="O28" s="290"/>
      <c r="P28" s="299"/>
      <c r="Q28" s="309"/>
      <c r="R28" s="290"/>
      <c r="S28" s="290"/>
      <c r="T28" s="299"/>
      <c r="U28" s="309"/>
      <c r="V28" s="290"/>
      <c r="W28" s="299"/>
      <c r="X28" s="309"/>
      <c r="Y28" s="290"/>
      <c r="Z28" s="290"/>
      <c r="AA28" s="299"/>
      <c r="AB28" s="309"/>
      <c r="AC28" s="290"/>
      <c r="AD28" s="299"/>
      <c r="AE28" s="309"/>
      <c r="AF28" s="290"/>
      <c r="AG28" s="299"/>
      <c r="AH28" s="290"/>
      <c r="AI28" s="290"/>
      <c r="AJ28" s="290"/>
      <c r="AK28" s="290"/>
      <c r="AL28" s="290"/>
      <c r="AM28" s="299"/>
    </row>
    <row r="29" spans="1:40">
      <c r="A29" s="640" t="s">
        <v>192</v>
      </c>
      <c r="B29" s="641"/>
      <c r="C29" s="641"/>
      <c r="D29" s="641"/>
      <c r="E29" s="641"/>
      <c r="F29" s="641"/>
      <c r="G29" s="641"/>
      <c r="H29" s="642"/>
      <c r="I29" s="643" t="s">
        <v>161</v>
      </c>
      <c r="J29" s="644"/>
      <c r="K29" s="644"/>
      <c r="L29" s="644"/>
      <c r="M29" s="645"/>
      <c r="N29" s="646" t="s">
        <v>191</v>
      </c>
      <c r="O29" s="647"/>
      <c r="P29" s="648"/>
      <c r="Q29" s="636" t="s">
        <v>161</v>
      </c>
      <c r="R29" s="637"/>
      <c r="S29" s="637"/>
      <c r="T29" s="638"/>
      <c r="U29" s="646" t="s">
        <v>191</v>
      </c>
      <c r="V29" s="647"/>
      <c r="W29" s="648"/>
      <c r="X29" s="636" t="s">
        <v>161</v>
      </c>
      <c r="Y29" s="637"/>
      <c r="Z29" s="637"/>
      <c r="AA29" s="638"/>
      <c r="AB29" s="636">
        <v>8571</v>
      </c>
      <c r="AC29" s="637"/>
      <c r="AD29" s="638"/>
      <c r="AE29" s="636">
        <f>+AB29</f>
        <v>8571</v>
      </c>
      <c r="AF29" s="637"/>
      <c r="AG29" s="638"/>
      <c r="AH29" s="292">
        <v>0</v>
      </c>
      <c r="AI29" s="292"/>
      <c r="AJ29" s="292">
        <v>0</v>
      </c>
      <c r="AK29" s="292">
        <v>1</v>
      </c>
      <c r="AL29" s="292">
        <v>2</v>
      </c>
      <c r="AM29" s="292">
        <v>3</v>
      </c>
    </row>
    <row r="30" spans="1:40" ht="5.0999999999999996" customHeight="1">
      <c r="A30" s="300"/>
      <c r="B30" s="301"/>
      <c r="C30" s="301"/>
      <c r="D30" s="301"/>
      <c r="E30" s="301"/>
      <c r="F30" s="301"/>
      <c r="G30" s="301"/>
      <c r="H30" s="302"/>
      <c r="I30" s="300"/>
      <c r="J30" s="301"/>
      <c r="K30" s="301"/>
      <c r="L30" s="301"/>
      <c r="M30" s="302"/>
      <c r="N30" s="300"/>
      <c r="O30" s="301"/>
      <c r="P30" s="302"/>
      <c r="Q30" s="300"/>
      <c r="R30" s="301"/>
      <c r="S30" s="301"/>
      <c r="T30" s="302"/>
      <c r="U30" s="300"/>
      <c r="V30" s="301"/>
      <c r="W30" s="302"/>
      <c r="X30" s="300"/>
      <c r="Y30" s="301"/>
      <c r="Z30" s="301"/>
      <c r="AA30" s="302"/>
      <c r="AB30" s="300"/>
      <c r="AC30" s="301"/>
      <c r="AD30" s="302"/>
      <c r="AE30" s="300"/>
      <c r="AF30" s="301"/>
      <c r="AG30" s="302"/>
      <c r="AH30" s="301"/>
      <c r="AI30" s="301"/>
      <c r="AJ30" s="301"/>
      <c r="AK30" s="301"/>
      <c r="AL30" s="301"/>
      <c r="AM30" s="302"/>
    </row>
    <row r="31" spans="1:40" ht="12.75" customHeight="1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</row>
    <row r="32" spans="1:40">
      <c r="A32" s="288" t="s">
        <v>193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628" t="s">
        <v>194</v>
      </c>
      <c r="U32" s="628"/>
      <c r="V32" s="628"/>
      <c r="W32" s="628"/>
      <c r="X32" s="628"/>
      <c r="Y32" s="628"/>
      <c r="Z32" s="288"/>
      <c r="AA32" s="639" t="s">
        <v>195</v>
      </c>
      <c r="AB32" s="639"/>
      <c r="AC32" s="639"/>
      <c r="AD32" s="639"/>
      <c r="AE32" s="639"/>
      <c r="AF32" s="639"/>
      <c r="AG32" s="639"/>
      <c r="AH32" s="639"/>
      <c r="AI32" s="639"/>
      <c r="AJ32" s="639"/>
      <c r="AK32" s="639"/>
      <c r="AL32" s="639"/>
      <c r="AM32" s="639"/>
      <c r="AN32" s="288"/>
    </row>
    <row r="33" spans="1:40">
      <c r="A33" s="288" t="s">
        <v>196</v>
      </c>
      <c r="B33" s="627" t="s">
        <v>197</v>
      </c>
      <c r="C33" s="627"/>
      <c r="D33" s="627"/>
      <c r="E33" s="288"/>
      <c r="F33" s="288"/>
      <c r="G33" s="288"/>
      <c r="H33" s="311"/>
      <c r="I33" s="311"/>
      <c r="J33" s="311"/>
      <c r="K33" s="311"/>
      <c r="L33" s="311"/>
      <c r="M33" s="311">
        <v>3</v>
      </c>
      <c r="N33" s="288"/>
      <c r="O33" s="288"/>
      <c r="P33" s="288"/>
      <c r="Q33" s="288"/>
      <c r="R33" s="288"/>
      <c r="S33" s="288"/>
      <c r="T33" s="628" t="s">
        <v>198</v>
      </c>
      <c r="U33" s="628"/>
      <c r="V33" s="628"/>
      <c r="W33" s="628"/>
      <c r="X33" s="628"/>
      <c r="Y33" s="628"/>
      <c r="Z33" s="288"/>
      <c r="AA33" s="629" t="s">
        <v>199</v>
      </c>
      <c r="AB33" s="630"/>
      <c r="AC33" s="630"/>
      <c r="AD33" s="630"/>
      <c r="AE33" s="630"/>
      <c r="AF33" s="630"/>
      <c r="AG33" s="630"/>
      <c r="AH33" s="630"/>
      <c r="AI33" s="630"/>
      <c r="AJ33" s="630"/>
      <c r="AK33" s="630"/>
      <c r="AL33" s="630"/>
      <c r="AM33" s="630"/>
      <c r="AN33" s="288"/>
    </row>
    <row r="34" spans="1:40">
      <c r="A34" s="288" t="s">
        <v>200</v>
      </c>
      <c r="B34" s="627" t="s">
        <v>201</v>
      </c>
      <c r="C34" s="627"/>
      <c r="D34" s="627"/>
      <c r="E34" s="288"/>
      <c r="F34" s="288"/>
      <c r="G34" s="288"/>
      <c r="H34" s="311"/>
      <c r="I34" s="311"/>
      <c r="J34" s="311"/>
      <c r="K34" s="311"/>
      <c r="L34" s="311">
        <v>2</v>
      </c>
      <c r="M34" s="311">
        <v>1</v>
      </c>
      <c r="N34" s="288"/>
      <c r="O34" s="288"/>
      <c r="P34" s="288"/>
      <c r="Q34" s="288"/>
      <c r="R34" s="288"/>
      <c r="S34" s="288"/>
      <c r="T34" s="628" t="s">
        <v>202</v>
      </c>
      <c r="U34" s="628"/>
      <c r="V34" s="628"/>
      <c r="W34" s="628"/>
      <c r="X34" s="628"/>
      <c r="Y34" s="628"/>
      <c r="Z34" s="288"/>
      <c r="AA34" s="629" t="s">
        <v>159</v>
      </c>
      <c r="AB34" s="630"/>
      <c r="AC34" s="630"/>
      <c r="AD34" s="630"/>
      <c r="AE34" s="630"/>
      <c r="AF34" s="630"/>
      <c r="AG34" s="630"/>
      <c r="AH34" s="630"/>
      <c r="AI34" s="630"/>
      <c r="AJ34" s="630"/>
      <c r="AK34" s="630"/>
      <c r="AL34" s="630"/>
      <c r="AM34" s="630"/>
      <c r="AN34" s="288"/>
    </row>
    <row r="35" spans="1:40">
      <c r="A35" s="288" t="s">
        <v>203</v>
      </c>
      <c r="B35" s="627" t="s">
        <v>0</v>
      </c>
      <c r="C35" s="627"/>
      <c r="D35" s="627"/>
      <c r="E35" s="288"/>
      <c r="F35" s="288"/>
      <c r="G35" s="288"/>
      <c r="H35" s="311"/>
      <c r="I35" s="311"/>
      <c r="J35" s="311"/>
      <c r="K35" s="311"/>
      <c r="L35" s="311">
        <v>2</v>
      </c>
      <c r="M35" s="311">
        <v>4</v>
      </c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</row>
    <row r="36" spans="1:40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</row>
    <row r="37" spans="1:40">
      <c r="A37" s="631" t="s">
        <v>204</v>
      </c>
      <c r="B37" s="616"/>
      <c r="C37" s="616"/>
      <c r="D37" s="616"/>
      <c r="E37" s="616"/>
      <c r="F37" s="616"/>
      <c r="G37" s="616"/>
      <c r="H37" s="616"/>
      <c r="I37" s="632"/>
      <c r="J37" s="631" t="s">
        <v>205</v>
      </c>
      <c r="K37" s="616"/>
      <c r="L37" s="632"/>
      <c r="M37" s="631" t="s">
        <v>206</v>
      </c>
      <c r="N37" s="616"/>
      <c r="O37" s="632"/>
      <c r="P37" s="631" t="s">
        <v>207</v>
      </c>
      <c r="Q37" s="616"/>
      <c r="R37" s="632"/>
      <c r="S37" s="309"/>
      <c r="T37" s="622"/>
      <c r="U37" s="623"/>
      <c r="V37" s="623"/>
      <c r="W37" s="623"/>
      <c r="X37" s="623"/>
      <c r="Y37" s="623"/>
      <c r="Z37" s="623"/>
      <c r="AA37" s="623"/>
      <c r="AB37" s="623"/>
      <c r="AC37" s="623"/>
      <c r="AD37" s="623"/>
      <c r="AE37" s="623"/>
      <c r="AF37" s="623"/>
      <c r="AG37" s="623"/>
      <c r="AH37" s="623"/>
      <c r="AI37" s="623"/>
      <c r="AJ37" s="623"/>
      <c r="AK37" s="623"/>
      <c r="AL37" s="623"/>
      <c r="AM37" s="623"/>
    </row>
    <row r="38" spans="1:40">
      <c r="A38" s="633"/>
      <c r="B38" s="634"/>
      <c r="C38" s="634"/>
      <c r="D38" s="634"/>
      <c r="E38" s="634"/>
      <c r="F38" s="634"/>
      <c r="G38" s="634"/>
      <c r="H38" s="634"/>
      <c r="I38" s="635"/>
      <c r="J38" s="633"/>
      <c r="K38" s="634"/>
      <c r="L38" s="635"/>
      <c r="M38" s="633" t="s">
        <v>208</v>
      </c>
      <c r="N38" s="634"/>
      <c r="O38" s="635"/>
      <c r="P38" s="633"/>
      <c r="Q38" s="634"/>
      <c r="R38" s="635"/>
      <c r="S38" s="309"/>
      <c r="T38" s="622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623"/>
      <c r="AH38" s="623"/>
      <c r="AI38" s="623"/>
      <c r="AJ38" s="623"/>
      <c r="AK38" s="623"/>
      <c r="AL38" s="623"/>
      <c r="AM38" s="623"/>
    </row>
    <row r="39" spans="1:40" ht="31.5" customHeight="1">
      <c r="A39" s="625" t="s">
        <v>209</v>
      </c>
      <c r="B39" s="626"/>
      <c r="C39" s="626"/>
      <c r="D39" s="626"/>
      <c r="E39" s="626"/>
      <c r="F39" s="626"/>
      <c r="G39" s="626"/>
      <c r="H39" s="626"/>
      <c r="I39" s="312"/>
      <c r="J39" s="615">
        <v>24</v>
      </c>
      <c r="K39" s="615"/>
      <c r="L39" s="615"/>
      <c r="M39" s="615">
        <v>24</v>
      </c>
      <c r="N39" s="615"/>
      <c r="O39" s="615"/>
      <c r="P39" s="615" t="s">
        <v>161</v>
      </c>
      <c r="Q39" s="615"/>
      <c r="R39" s="615"/>
      <c r="S39" s="309"/>
      <c r="T39" s="622"/>
      <c r="U39" s="623"/>
      <c r="V39" s="623"/>
      <c r="W39" s="623"/>
      <c r="X39" s="623"/>
      <c r="Y39" s="623"/>
      <c r="Z39" s="623"/>
      <c r="AA39" s="623"/>
      <c r="AB39" s="623"/>
      <c r="AC39" s="623"/>
      <c r="AD39" s="623"/>
      <c r="AE39" s="623"/>
      <c r="AF39" s="623"/>
      <c r="AG39" s="623"/>
      <c r="AH39" s="623"/>
      <c r="AI39" s="623"/>
      <c r="AJ39" s="623"/>
      <c r="AK39" s="623"/>
      <c r="AL39" s="623"/>
      <c r="AM39" s="623"/>
    </row>
    <row r="40" spans="1:40" ht="30.75" customHeight="1">
      <c r="A40" s="617" t="s">
        <v>210</v>
      </c>
      <c r="B40" s="618"/>
      <c r="C40" s="618"/>
      <c r="D40" s="618"/>
      <c r="E40" s="618"/>
      <c r="F40" s="618"/>
      <c r="G40" s="618"/>
      <c r="H40" s="618"/>
      <c r="I40" s="618"/>
      <c r="J40" s="619">
        <v>0</v>
      </c>
      <c r="K40" s="620"/>
      <c r="L40" s="621"/>
      <c r="M40" s="619">
        <v>0</v>
      </c>
      <c r="N40" s="620"/>
      <c r="O40" s="621"/>
      <c r="P40" s="619"/>
      <c r="Q40" s="620"/>
      <c r="R40" s="621"/>
      <c r="S40" s="309"/>
      <c r="T40" s="622"/>
      <c r="U40" s="623"/>
      <c r="V40" s="623"/>
      <c r="W40" s="623"/>
      <c r="X40" s="623"/>
      <c r="Y40" s="623"/>
      <c r="Z40" s="623"/>
      <c r="AA40" s="623"/>
      <c r="AB40" s="623"/>
      <c r="AC40" s="623"/>
      <c r="AD40" s="623"/>
      <c r="AE40" s="623"/>
      <c r="AF40" s="623"/>
      <c r="AG40" s="623"/>
      <c r="AH40" s="623"/>
      <c r="AI40" s="623"/>
      <c r="AJ40" s="623"/>
      <c r="AK40" s="623"/>
      <c r="AL40" s="623"/>
      <c r="AM40" s="623"/>
    </row>
    <row r="41" spans="1:40" ht="30" customHeight="1">
      <c r="A41" s="617" t="s">
        <v>211</v>
      </c>
      <c r="B41" s="624"/>
      <c r="C41" s="624"/>
      <c r="D41" s="624"/>
      <c r="E41" s="624"/>
      <c r="F41" s="624"/>
      <c r="G41" s="624"/>
      <c r="H41" s="624"/>
      <c r="I41" s="313"/>
      <c r="J41" s="615">
        <v>0</v>
      </c>
      <c r="K41" s="615"/>
      <c r="L41" s="615"/>
      <c r="M41" s="615">
        <v>1</v>
      </c>
      <c r="N41" s="615"/>
      <c r="O41" s="615"/>
      <c r="P41" s="615"/>
      <c r="Q41" s="615"/>
      <c r="R41" s="615"/>
      <c r="S41" s="309"/>
      <c r="T41" s="290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</row>
    <row r="42" spans="1:40">
      <c r="A42" s="612" t="s">
        <v>212</v>
      </c>
      <c r="B42" s="613"/>
      <c r="C42" s="613"/>
      <c r="D42" s="613"/>
      <c r="E42" s="613"/>
      <c r="F42" s="613"/>
      <c r="G42" s="613"/>
      <c r="H42" s="613"/>
      <c r="I42" s="614"/>
      <c r="J42" s="615">
        <f>+J39+J40-J41</f>
        <v>24</v>
      </c>
      <c r="K42" s="615"/>
      <c r="L42" s="615"/>
      <c r="M42" s="615">
        <f>+M39-M41</f>
        <v>23</v>
      </c>
      <c r="N42" s="615"/>
      <c r="O42" s="615"/>
      <c r="P42" s="615"/>
      <c r="Q42" s="615"/>
      <c r="R42" s="615"/>
      <c r="S42" s="309"/>
      <c r="T42" s="616" t="s">
        <v>213</v>
      </c>
      <c r="U42" s="616"/>
      <c r="V42" s="616"/>
      <c r="W42" s="616"/>
      <c r="X42" s="616"/>
      <c r="Y42" s="616"/>
      <c r="Z42" s="616"/>
      <c r="AA42" s="616"/>
      <c r="AB42" s="616"/>
      <c r="AC42" s="616"/>
      <c r="AD42" s="616"/>
      <c r="AE42" s="616"/>
      <c r="AF42" s="616"/>
      <c r="AG42" s="616"/>
      <c r="AH42" s="616"/>
      <c r="AI42" s="616"/>
      <c r="AJ42" s="616"/>
      <c r="AK42" s="616"/>
      <c r="AL42" s="616"/>
      <c r="AM42" s="288"/>
      <c r="AN42" s="288"/>
    </row>
    <row r="43" spans="1:40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</row>
  </sheetData>
  <sheetProtection password="B0D4" sheet="1" objects="1" scenarios="1" selectLockedCells="1"/>
  <mergeCells count="121">
    <mergeCell ref="A2:AN2"/>
    <mergeCell ref="A4:AN4"/>
    <mergeCell ref="A5:AN5"/>
    <mergeCell ref="A6:AN6"/>
    <mergeCell ref="A7:K7"/>
    <mergeCell ref="AH7:AM7"/>
    <mergeCell ref="A11:K11"/>
    <mergeCell ref="N11:X11"/>
    <mergeCell ref="A12:AN12"/>
    <mergeCell ref="A13:C13"/>
    <mergeCell ref="O13:V13"/>
    <mergeCell ref="AG13:AJ13"/>
    <mergeCell ref="A8:K8"/>
    <mergeCell ref="A9:K9"/>
    <mergeCell ref="M9:T9"/>
    <mergeCell ref="W9:Z9"/>
    <mergeCell ref="AG9:AL9"/>
    <mergeCell ref="A10:K10"/>
    <mergeCell ref="L10:AN10"/>
    <mergeCell ref="I17:M17"/>
    <mergeCell ref="N17:T17"/>
    <mergeCell ref="U17:AA17"/>
    <mergeCell ref="AB17:AD17"/>
    <mergeCell ref="AE17:AG17"/>
    <mergeCell ref="AH17:AM17"/>
    <mergeCell ref="AH15:AM15"/>
    <mergeCell ref="A16:H16"/>
    <mergeCell ref="I16:M16"/>
    <mergeCell ref="AB16:AD16"/>
    <mergeCell ref="AE16:AG16"/>
    <mergeCell ref="AH16:AM16"/>
    <mergeCell ref="A15:H15"/>
    <mergeCell ref="I15:M15"/>
    <mergeCell ref="N15:T16"/>
    <mergeCell ref="U15:AA16"/>
    <mergeCell ref="AB15:AD15"/>
    <mergeCell ref="AE15:AG15"/>
    <mergeCell ref="AH18:AM18"/>
    <mergeCell ref="I19:M19"/>
    <mergeCell ref="N19:P19"/>
    <mergeCell ref="Q19:T19"/>
    <mergeCell ref="U19:W19"/>
    <mergeCell ref="X19:AA19"/>
    <mergeCell ref="AB19:AD19"/>
    <mergeCell ref="AE19:AG19"/>
    <mergeCell ref="AH19:AM19"/>
    <mergeCell ref="N18:P18"/>
    <mergeCell ref="Q18:T18"/>
    <mergeCell ref="U18:W18"/>
    <mergeCell ref="X18:AA18"/>
    <mergeCell ref="AB18:AD18"/>
    <mergeCell ref="AE18:AG18"/>
    <mergeCell ref="N20:P20"/>
    <mergeCell ref="AH20:AM20"/>
    <mergeCell ref="A21:H21"/>
    <mergeCell ref="I21:M21"/>
    <mergeCell ref="N21:P21"/>
    <mergeCell ref="Q21:T21"/>
    <mergeCell ref="U21:W21"/>
    <mergeCell ref="X21:AA21"/>
    <mergeCell ref="AB21:AD21"/>
    <mergeCell ref="AE21:AG21"/>
    <mergeCell ref="AB23:AD23"/>
    <mergeCell ref="AE23:AG23"/>
    <mergeCell ref="A26:H26"/>
    <mergeCell ref="I26:M26"/>
    <mergeCell ref="N26:P26"/>
    <mergeCell ref="Q26:T26"/>
    <mergeCell ref="U26:W26"/>
    <mergeCell ref="X26:AA26"/>
    <mergeCell ref="AB26:AD26"/>
    <mergeCell ref="AE26:AG26"/>
    <mergeCell ref="A23:H23"/>
    <mergeCell ref="I23:M23"/>
    <mergeCell ref="N23:P23"/>
    <mergeCell ref="Q23:T23"/>
    <mergeCell ref="U23:W23"/>
    <mergeCell ref="X23:AA23"/>
    <mergeCell ref="AB29:AD29"/>
    <mergeCell ref="AE29:AG29"/>
    <mergeCell ref="T32:Y32"/>
    <mergeCell ref="AA32:AM32"/>
    <mergeCell ref="B33:D33"/>
    <mergeCell ref="T33:Y33"/>
    <mergeCell ref="AA33:AM33"/>
    <mergeCell ref="A29:H29"/>
    <mergeCell ref="I29:M29"/>
    <mergeCell ref="N29:P29"/>
    <mergeCell ref="Q29:T29"/>
    <mergeCell ref="U29:W29"/>
    <mergeCell ref="X29:AA29"/>
    <mergeCell ref="T38:AM38"/>
    <mergeCell ref="A39:H39"/>
    <mergeCell ref="J39:L39"/>
    <mergeCell ref="M39:O39"/>
    <mergeCell ref="P39:R39"/>
    <mergeCell ref="T39:AM39"/>
    <mergeCell ref="B34:D34"/>
    <mergeCell ref="T34:Y34"/>
    <mergeCell ref="AA34:AM34"/>
    <mergeCell ref="B35:D35"/>
    <mergeCell ref="A37:I38"/>
    <mergeCell ref="J37:L38"/>
    <mergeCell ref="M37:O37"/>
    <mergeCell ref="P37:R38"/>
    <mergeCell ref="T37:AM37"/>
    <mergeCell ref="M38:O38"/>
    <mergeCell ref="A42:I42"/>
    <mergeCell ref="J42:L42"/>
    <mergeCell ref="M42:O42"/>
    <mergeCell ref="P42:R42"/>
    <mergeCell ref="T42:AL42"/>
    <mergeCell ref="A40:I40"/>
    <mergeCell ref="J40:L40"/>
    <mergeCell ref="M40:O40"/>
    <mergeCell ref="P40:R40"/>
    <mergeCell ref="T40:AM40"/>
    <mergeCell ref="A41:H41"/>
    <mergeCell ref="J41:L41"/>
    <mergeCell ref="M41:O41"/>
    <mergeCell ref="P41:R41"/>
  </mergeCells>
  <pageMargins left="0.39370078740157483" right="0.19685039370078741" top="0.39370078740157483" bottom="0.39370078740157483" header="0" footer="0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C4:L23"/>
  <sheetViews>
    <sheetView workbookViewId="0">
      <selection activeCell="L24" sqref="L24"/>
    </sheetView>
  </sheetViews>
  <sheetFormatPr defaultRowHeight="15"/>
  <sheetData>
    <row r="4" spans="3:11">
      <c r="F4" s="219" t="s">
        <v>307</v>
      </c>
      <c r="G4" s="219" t="s">
        <v>308</v>
      </c>
    </row>
    <row r="6" spans="3:11">
      <c r="E6">
        <v>47745</v>
      </c>
    </row>
    <row r="7" spans="3:11">
      <c r="E7">
        <f>1520+220+1580+550+1170+590</f>
        <v>5630</v>
      </c>
    </row>
    <row r="8" spans="3:11">
      <c r="E8">
        <f>598+4656+2860+600+1</f>
        <v>8715</v>
      </c>
      <c r="F8">
        <f>1000+640+300+1100</f>
        <v>3040</v>
      </c>
      <c r="G8">
        <v>375</v>
      </c>
    </row>
    <row r="9" spans="3:11">
      <c r="E9">
        <f>750+375+162+480</f>
        <v>1767</v>
      </c>
      <c r="G9">
        <v>5568</v>
      </c>
      <c r="K9">
        <f>47745+5630+12130+7335+16230+13140+38030+20130+10108</f>
        <v>170478</v>
      </c>
    </row>
    <row r="10" spans="3:11">
      <c r="E10">
        <f>1520+11050+560+1250+1350+245+208+47</f>
        <v>16230</v>
      </c>
    </row>
    <row r="11" spans="3:11">
      <c r="E11">
        <f>960+1440+480+8160+2100</f>
        <v>13140</v>
      </c>
    </row>
    <row r="12" spans="3:11">
      <c r="C12">
        <f>38420-2580+2190</f>
        <v>38030</v>
      </c>
      <c r="E12">
        <f>1350+750+2190+3000+3575+280+2730+1400+460+300+3000</f>
        <v>19035</v>
      </c>
      <c r="F12">
        <f>250+3420</f>
        <v>3670</v>
      </c>
      <c r="G12">
        <f>3000+11250+625+450+0</f>
        <v>15325</v>
      </c>
      <c r="K12">
        <f>45359-5450</f>
        <v>39909</v>
      </c>
    </row>
    <row r="13" spans="3:11">
      <c r="E13">
        <f>5400+680+11520+1110</f>
        <v>18710</v>
      </c>
      <c r="F13">
        <f>300+480+640</f>
        <v>1420</v>
      </c>
      <c r="K13">
        <v>5271</v>
      </c>
    </row>
    <row r="14" spans="3:11">
      <c r="H14">
        <f>1560+2560+2950+1280+1320+438</f>
        <v>10108</v>
      </c>
      <c r="K14">
        <f>11343-1300</f>
        <v>10043</v>
      </c>
    </row>
    <row r="15" spans="3:11">
      <c r="K15">
        <f>479+5125</f>
        <v>5604</v>
      </c>
    </row>
    <row r="16" spans="3:11">
      <c r="K16">
        <f>1585+12480</f>
        <v>14065</v>
      </c>
    </row>
    <row r="17" spans="11:12">
      <c r="K17">
        <f>11877+0</f>
        <v>11877</v>
      </c>
    </row>
    <row r="18" spans="11:12">
      <c r="K18">
        <f>937+16097+10757</f>
        <v>27791</v>
      </c>
    </row>
    <row r="19" spans="11:12">
      <c r="K19">
        <f>1036+11500+0</f>
        <v>12536</v>
      </c>
    </row>
    <row r="20" spans="11:12">
      <c r="K20">
        <v>8567</v>
      </c>
    </row>
    <row r="21" spans="11:12">
      <c r="K21">
        <f>SUM(K12:K20)</f>
        <v>135663</v>
      </c>
      <c r="L21">
        <f>+K21*2%</f>
        <v>2713.26</v>
      </c>
    </row>
    <row r="23" spans="11:12">
      <c r="L23">
        <f>170478-2714</f>
        <v>167764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C6" sqref="C6:G15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4:O80"/>
  <sheetViews>
    <sheetView topLeftCell="A7" zoomScale="70" zoomScaleNormal="70" workbookViewId="0">
      <selection activeCell="B5" sqref="B5:I36"/>
    </sheetView>
  </sheetViews>
  <sheetFormatPr defaultRowHeight="15"/>
  <cols>
    <col min="2" max="2" width="6.42578125" customWidth="1"/>
    <col min="3" max="3" width="15.28515625" customWidth="1"/>
    <col min="4" max="4" width="6.140625" customWidth="1"/>
    <col min="5" max="5" width="10.85546875" customWidth="1"/>
    <col min="6" max="6" width="10.5703125" customWidth="1"/>
    <col min="7" max="8" width="0" hidden="1" customWidth="1"/>
    <col min="9" max="9" width="15" customWidth="1"/>
    <col min="11" max="11" width="10" bestFit="1" customWidth="1"/>
    <col min="12" max="12" width="13" customWidth="1"/>
    <col min="14" max="14" width="20.7109375" customWidth="1"/>
    <col min="15" max="15" width="20.140625" customWidth="1"/>
    <col min="16" max="16" width="11.42578125" customWidth="1"/>
    <col min="17" max="17" width="10" bestFit="1" customWidth="1"/>
  </cols>
  <sheetData>
    <row r="4" spans="2:11" ht="15.75" thickBot="1"/>
    <row r="5" spans="2:11" ht="16.5">
      <c r="B5" s="5"/>
      <c r="C5" s="6"/>
      <c r="D5" s="6"/>
      <c r="E5" s="6"/>
      <c r="F5" s="6"/>
      <c r="G5" s="6"/>
      <c r="H5" s="6"/>
      <c r="I5" s="7"/>
      <c r="J5" s="4"/>
    </row>
    <row r="6" spans="2:11" ht="16.5">
      <c r="B6" s="8" t="s">
        <v>310</v>
      </c>
      <c r="C6" s="9"/>
      <c r="D6" s="9"/>
      <c r="E6" s="9"/>
      <c r="F6" s="9"/>
      <c r="G6" s="9"/>
      <c r="H6" s="9"/>
      <c r="I6" s="10"/>
      <c r="J6" s="4"/>
    </row>
    <row r="7" spans="2:11" ht="16.5">
      <c r="B7" s="11"/>
      <c r="C7" s="9"/>
      <c r="D7" s="9"/>
      <c r="E7" s="9"/>
      <c r="F7" s="9"/>
      <c r="G7" s="9"/>
      <c r="H7" s="9"/>
      <c r="I7" s="10"/>
      <c r="J7" s="4"/>
    </row>
    <row r="8" spans="2:11" ht="16.5">
      <c r="B8" s="11" t="s">
        <v>45</v>
      </c>
      <c r="C8" s="9"/>
      <c r="D8" s="9"/>
      <c r="E8" s="9"/>
      <c r="F8" s="9"/>
      <c r="G8" s="9"/>
      <c r="H8" s="9"/>
      <c r="I8" s="12">
        <f>+'MAR 24'!C50</f>
        <v>1304407</v>
      </c>
      <c r="J8" s="4"/>
    </row>
    <row r="9" spans="2:11" ht="16.5">
      <c r="B9" s="11"/>
      <c r="C9" s="9"/>
      <c r="D9" s="9"/>
      <c r="E9" s="9"/>
      <c r="F9" s="9"/>
      <c r="G9" s="9"/>
      <c r="H9" s="9"/>
      <c r="I9" s="10"/>
      <c r="J9" s="4"/>
    </row>
    <row r="10" spans="2:11" ht="16.5">
      <c r="B10" s="11" t="s">
        <v>34</v>
      </c>
      <c r="C10" s="9"/>
      <c r="D10" s="9"/>
      <c r="E10" s="9"/>
      <c r="F10" s="9"/>
      <c r="G10" s="9"/>
      <c r="H10" s="9"/>
      <c r="I10" s="12">
        <f>SUM(E13:E19)</f>
        <v>683419</v>
      </c>
      <c r="J10" s="4"/>
    </row>
    <row r="11" spans="2:11" ht="16.5" hidden="1">
      <c r="B11" s="11"/>
      <c r="C11" s="9"/>
      <c r="D11" s="9"/>
      <c r="E11" s="9"/>
      <c r="F11" s="9"/>
      <c r="G11" s="9"/>
      <c r="H11" s="9"/>
      <c r="I11" s="12"/>
      <c r="J11" s="4"/>
    </row>
    <row r="12" spans="2:11" ht="16.5" hidden="1">
      <c r="B12" s="11"/>
      <c r="C12" s="9"/>
      <c r="D12" s="9"/>
      <c r="E12" s="121"/>
      <c r="F12" s="9"/>
      <c r="G12" s="9"/>
      <c r="H12" s="9"/>
      <c r="I12" s="12"/>
      <c r="J12" s="4"/>
    </row>
    <row r="13" spans="2:11" ht="16.5">
      <c r="B13" s="11"/>
      <c r="C13" s="9" t="s">
        <v>44</v>
      </c>
      <c r="D13" s="9"/>
      <c r="E13" s="122">
        <f>+'MAR 24'!D50</f>
        <v>0</v>
      </c>
      <c r="F13" s="9"/>
      <c r="G13" s="9"/>
      <c r="H13" s="9"/>
      <c r="I13" s="12"/>
      <c r="J13" s="4"/>
    </row>
    <row r="14" spans="2:11" ht="16.5">
      <c r="B14" s="11"/>
      <c r="C14" s="352" t="s">
        <v>8</v>
      </c>
      <c r="D14" s="9"/>
      <c r="E14" s="122">
        <f>+'MAR 24'!H50</f>
        <v>539626</v>
      </c>
      <c r="F14" s="9"/>
      <c r="G14" s="9"/>
      <c r="H14" s="9"/>
      <c r="I14" s="12"/>
      <c r="J14" s="4"/>
    </row>
    <row r="15" spans="2:11" ht="16.5">
      <c r="B15" s="11"/>
      <c r="C15" s="9" t="s">
        <v>282</v>
      </c>
      <c r="D15" s="9"/>
      <c r="E15" s="122">
        <f>+'MAR 24'!I50</f>
        <v>56808</v>
      </c>
      <c r="F15" s="9"/>
      <c r="G15" s="9"/>
      <c r="H15" s="9"/>
      <c r="I15" s="12"/>
      <c r="J15" s="4"/>
      <c r="K15" s="83"/>
    </row>
    <row r="16" spans="2:11" ht="16.5">
      <c r="B16" s="11"/>
      <c r="C16" s="9" t="s">
        <v>288</v>
      </c>
      <c r="D16" s="9"/>
      <c r="E16" s="122">
        <f>+'MAR 24'!K50</f>
        <v>68985</v>
      </c>
      <c r="F16" s="9"/>
      <c r="G16" s="9"/>
      <c r="H16" s="9"/>
      <c r="I16" s="12"/>
      <c r="J16" s="4"/>
    </row>
    <row r="17" spans="2:15" ht="16.5">
      <c r="B17" s="11"/>
      <c r="C17" s="9" t="s">
        <v>35</v>
      </c>
      <c r="D17" s="9"/>
      <c r="E17" s="122">
        <f>+'MAR 24'!J50</f>
        <v>18000</v>
      </c>
      <c r="F17" s="9"/>
      <c r="G17" s="9"/>
      <c r="H17" s="9"/>
      <c r="I17" s="12"/>
      <c r="J17" s="4"/>
    </row>
    <row r="18" spans="2:15" ht="16.5">
      <c r="B18" s="11"/>
      <c r="C18" s="9" t="s">
        <v>36</v>
      </c>
      <c r="D18" s="9"/>
      <c r="E18" s="122">
        <f>+'MAR 24'!L51</f>
        <v>0</v>
      </c>
      <c r="F18" s="9"/>
      <c r="G18" s="9"/>
      <c r="H18" s="9"/>
      <c r="I18" s="12"/>
      <c r="J18" s="4"/>
    </row>
    <row r="19" spans="2:15" ht="16.5">
      <c r="B19" s="11"/>
      <c r="C19" s="9" t="s">
        <v>117</v>
      </c>
      <c r="D19" s="9"/>
      <c r="E19" s="122">
        <f>+'MAR 24'!F50+0</f>
        <v>0</v>
      </c>
      <c r="F19" s="9"/>
      <c r="G19" s="9"/>
      <c r="H19" s="9"/>
      <c r="I19" s="12"/>
      <c r="J19" s="4"/>
    </row>
    <row r="20" spans="2:15" ht="16.5">
      <c r="B20" s="11"/>
      <c r="C20" s="9"/>
      <c r="D20" s="9"/>
      <c r="E20" s="121"/>
      <c r="F20" s="9"/>
      <c r="G20" s="9"/>
      <c r="H20" s="9"/>
      <c r="I20" s="10"/>
      <c r="J20" s="4"/>
    </row>
    <row r="21" spans="2:15" ht="16.5">
      <c r="B21" s="11" t="s">
        <v>42</v>
      </c>
      <c r="C21" s="9"/>
      <c r="D21" s="9"/>
      <c r="E21" s="9"/>
      <c r="F21" s="9"/>
      <c r="G21" s="9"/>
      <c r="H21" s="9"/>
      <c r="I21" s="13">
        <f>+I8+I10</f>
        <v>1987826</v>
      </c>
      <c r="J21" s="4"/>
    </row>
    <row r="22" spans="2:15" ht="16.5">
      <c r="B22" s="11"/>
      <c r="C22" s="9"/>
      <c r="D22" s="9"/>
      <c r="E22" s="9"/>
      <c r="F22" s="9"/>
      <c r="G22" s="9"/>
      <c r="H22" s="9"/>
      <c r="I22" s="10"/>
      <c r="J22" s="4"/>
    </row>
    <row r="23" spans="2:15" ht="16.5">
      <c r="B23" s="11" t="s">
        <v>26</v>
      </c>
      <c r="C23" s="9"/>
      <c r="D23" s="9"/>
      <c r="E23" s="9"/>
      <c r="F23" s="9"/>
      <c r="G23" s="9"/>
      <c r="H23" s="9"/>
      <c r="I23" s="10"/>
      <c r="J23" s="4"/>
    </row>
    <row r="24" spans="2:15" ht="16.5">
      <c r="B24" s="11"/>
      <c r="C24" s="9"/>
      <c r="D24" s="9"/>
      <c r="E24" s="9"/>
      <c r="F24" s="9"/>
      <c r="G24" s="9"/>
      <c r="H24" s="9"/>
      <c r="I24" s="10"/>
      <c r="J24" s="4"/>
      <c r="O24" s="102"/>
    </row>
    <row r="25" spans="2:15" ht="16.5">
      <c r="B25" s="11"/>
      <c r="C25" s="9" t="s">
        <v>30</v>
      </c>
      <c r="D25" s="9"/>
      <c r="E25" s="14">
        <f>+'MAR 24'!O50+0</f>
        <v>221283.96000000002</v>
      </c>
      <c r="F25" s="14"/>
      <c r="G25" s="9"/>
      <c r="H25" s="9"/>
      <c r="I25" s="10"/>
      <c r="J25" s="4"/>
    </row>
    <row r="26" spans="2:15" ht="16.5">
      <c r="B26" s="11"/>
      <c r="C26" s="9" t="s">
        <v>27</v>
      </c>
      <c r="D26" s="9"/>
      <c r="E26" s="14">
        <f>+'MAR 24'!P50</f>
        <v>150500</v>
      </c>
      <c r="F26" s="14"/>
      <c r="G26" s="9"/>
      <c r="H26" s="9"/>
      <c r="I26" s="10"/>
      <c r="J26" s="4"/>
      <c r="O26" s="66"/>
    </row>
    <row r="27" spans="2:15" ht="16.5">
      <c r="B27" s="11"/>
      <c r="C27" s="9" t="s">
        <v>12</v>
      </c>
      <c r="D27" s="9"/>
      <c r="E27" s="14">
        <f>+'MAR 24'!Q50</f>
        <v>495</v>
      </c>
      <c r="F27" s="14"/>
      <c r="G27" s="9"/>
      <c r="H27" s="9"/>
      <c r="I27" s="12">
        <f>SUM(E25:E30)</f>
        <v>381761.96</v>
      </c>
      <c r="J27" s="4"/>
      <c r="N27" s="219"/>
      <c r="O27" s="66"/>
    </row>
    <row r="28" spans="2:15" ht="16.5">
      <c r="B28" s="11"/>
      <c r="C28" s="9" t="s">
        <v>13</v>
      </c>
      <c r="D28" s="9"/>
      <c r="E28" s="14">
        <f>+'MAR 24'!R50</f>
        <v>2420</v>
      </c>
      <c r="F28" s="14"/>
      <c r="G28" s="9"/>
      <c r="H28" s="9"/>
      <c r="I28" s="12"/>
      <c r="J28" s="4"/>
      <c r="N28" s="219"/>
      <c r="O28" s="66"/>
    </row>
    <row r="29" spans="2:15" ht="16.5">
      <c r="B29" s="11"/>
      <c r="C29" s="9" t="s">
        <v>24</v>
      </c>
      <c r="D29" s="9"/>
      <c r="E29" s="14">
        <f>+'MAR 24'!U50</f>
        <v>3370</v>
      </c>
      <c r="F29" s="14"/>
      <c r="G29" s="9"/>
      <c r="H29" s="9"/>
      <c r="I29" s="12"/>
      <c r="J29" s="4"/>
      <c r="N29" s="219"/>
      <c r="O29" s="66"/>
    </row>
    <row r="30" spans="2:15" ht="16.5">
      <c r="B30" s="11"/>
      <c r="C30" s="9" t="s">
        <v>128</v>
      </c>
      <c r="D30" s="9"/>
      <c r="E30" s="129">
        <f>+'MAR 24'!T50</f>
        <v>3693</v>
      </c>
      <c r="F30" s="14"/>
      <c r="G30" s="9"/>
      <c r="H30" s="9"/>
      <c r="I30" s="12"/>
      <c r="J30" s="4"/>
    </row>
    <row r="31" spans="2:15" ht="16.5">
      <c r="B31" s="11"/>
      <c r="C31" s="9"/>
      <c r="D31" s="9"/>
      <c r="E31" s="9"/>
      <c r="F31" s="9"/>
      <c r="G31" s="9"/>
      <c r="H31" s="9"/>
      <c r="I31" s="63"/>
      <c r="J31" s="4"/>
    </row>
    <row r="32" spans="2:15" ht="16.5">
      <c r="B32" s="11" t="s">
        <v>41</v>
      </c>
      <c r="C32" s="9"/>
      <c r="D32" s="9"/>
      <c r="E32" s="9"/>
      <c r="F32" s="9"/>
      <c r="G32" s="9"/>
      <c r="H32" s="9"/>
      <c r="I32" s="12">
        <f>+I21-I27</f>
        <v>1606064.04</v>
      </c>
      <c r="J32" s="4"/>
    </row>
    <row r="33" spans="2:11" ht="16.5">
      <c r="B33" s="11"/>
      <c r="C33" s="9"/>
      <c r="D33" s="9"/>
      <c r="E33" s="9"/>
      <c r="F33" s="9"/>
      <c r="G33" s="9"/>
      <c r="H33" s="9"/>
      <c r="I33" s="64"/>
      <c r="J33" s="4"/>
    </row>
    <row r="34" spans="2:11" ht="15.75" thickBot="1">
      <c r="B34" s="2" t="s">
        <v>38</v>
      </c>
      <c r="C34" s="3"/>
      <c r="D34" s="3"/>
      <c r="E34" s="3"/>
      <c r="F34" s="3"/>
      <c r="G34" s="3"/>
      <c r="H34" s="3"/>
      <c r="I34" s="65">
        <f>+I32</f>
        <v>1606064.04</v>
      </c>
      <c r="K34" s="219"/>
    </row>
    <row r="35" spans="2:11">
      <c r="K35" s="83"/>
    </row>
    <row r="39" spans="2:11">
      <c r="I39" s="83"/>
    </row>
    <row r="46" spans="2:11" ht="16.5">
      <c r="B46" s="67"/>
      <c r="C46" s="67"/>
      <c r="D46" s="67"/>
      <c r="E46" s="67"/>
      <c r="F46" s="67"/>
      <c r="G46" s="67"/>
      <c r="H46" s="67"/>
      <c r="I46" s="68"/>
    </row>
    <row r="47" spans="2:11" ht="16.5">
      <c r="B47" s="69"/>
      <c r="C47" s="68"/>
      <c r="D47" s="68"/>
      <c r="E47" s="68"/>
      <c r="F47" s="68"/>
      <c r="G47" s="68"/>
      <c r="H47" s="68"/>
      <c r="I47" s="68"/>
    </row>
    <row r="48" spans="2:11" ht="16.5">
      <c r="B48" s="68"/>
      <c r="C48" s="68"/>
      <c r="D48" s="68"/>
      <c r="E48" s="68"/>
      <c r="F48" s="68"/>
      <c r="G48" s="68"/>
      <c r="H48" s="68"/>
      <c r="I48" s="68"/>
    </row>
    <row r="49" spans="2:9" ht="16.5">
      <c r="B49" s="68"/>
      <c r="C49" s="68"/>
      <c r="D49" s="68"/>
      <c r="E49" s="68"/>
      <c r="F49" s="68"/>
      <c r="G49" s="68"/>
      <c r="H49" s="68"/>
      <c r="I49" s="67"/>
    </row>
    <row r="50" spans="2:9" ht="16.5">
      <c r="B50" s="68"/>
      <c r="C50" s="68"/>
      <c r="D50" s="68"/>
      <c r="E50" s="68"/>
      <c r="F50" s="68"/>
      <c r="G50" s="68"/>
      <c r="H50" s="68"/>
      <c r="I50" s="68"/>
    </row>
    <row r="51" spans="2:9" ht="16.5">
      <c r="B51" s="68"/>
      <c r="C51" s="68"/>
      <c r="D51" s="68"/>
      <c r="E51" s="68"/>
      <c r="F51" s="68"/>
      <c r="G51" s="68"/>
      <c r="H51" s="68"/>
      <c r="I51" s="67"/>
    </row>
    <row r="52" spans="2:9" ht="16.5">
      <c r="B52" s="68"/>
      <c r="C52" s="68"/>
      <c r="D52" s="68"/>
      <c r="E52" s="68"/>
      <c r="F52" s="68"/>
      <c r="G52" s="68"/>
      <c r="H52" s="68"/>
      <c r="I52" s="67"/>
    </row>
    <row r="53" spans="2:9" ht="16.5">
      <c r="B53" s="68"/>
      <c r="C53" s="68"/>
      <c r="D53" s="68"/>
      <c r="E53" s="68"/>
      <c r="F53" s="68"/>
      <c r="G53" s="68"/>
      <c r="H53" s="68"/>
      <c r="I53" s="67"/>
    </row>
    <row r="54" spans="2:9" ht="16.5">
      <c r="B54" s="68"/>
      <c r="C54" s="68"/>
      <c r="D54" s="68"/>
      <c r="E54" s="68"/>
      <c r="F54" s="68"/>
      <c r="G54" s="68"/>
      <c r="H54" s="68"/>
      <c r="I54" s="67"/>
    </row>
    <row r="55" spans="2:9" ht="16.5">
      <c r="B55" s="68"/>
      <c r="C55" s="68"/>
      <c r="D55" s="68"/>
      <c r="E55" s="68"/>
      <c r="F55" s="68"/>
      <c r="G55" s="68"/>
      <c r="H55" s="68"/>
      <c r="I55" s="67"/>
    </row>
    <row r="56" spans="2:9" ht="16.5">
      <c r="B56" s="68"/>
      <c r="C56" s="68"/>
      <c r="D56" s="68"/>
      <c r="E56" s="68"/>
      <c r="F56" s="68"/>
      <c r="G56" s="68"/>
      <c r="H56" s="68"/>
      <c r="I56" s="67"/>
    </row>
    <row r="57" spans="2:9" ht="16.5">
      <c r="B57" s="68"/>
      <c r="C57" s="68"/>
      <c r="D57" s="68"/>
      <c r="E57" s="68"/>
      <c r="F57" s="68"/>
      <c r="G57" s="68"/>
      <c r="H57" s="68"/>
      <c r="I57" s="67"/>
    </row>
    <row r="58" spans="2:9" ht="16.5">
      <c r="B58" s="68"/>
      <c r="C58" s="68"/>
      <c r="D58" s="68"/>
      <c r="E58" s="68"/>
      <c r="F58" s="68"/>
      <c r="G58" s="68"/>
      <c r="H58" s="68"/>
      <c r="I58" s="67"/>
    </row>
    <row r="59" spans="2:9" ht="16.5">
      <c r="B59" s="68"/>
      <c r="C59" s="68"/>
      <c r="D59" s="68"/>
      <c r="E59" s="68"/>
      <c r="F59" s="68"/>
      <c r="G59" s="68"/>
      <c r="H59" s="68"/>
      <c r="I59" s="67"/>
    </row>
    <row r="60" spans="2:9" ht="16.5">
      <c r="B60" s="68"/>
      <c r="C60" s="68"/>
      <c r="D60" s="68"/>
      <c r="E60" s="68"/>
      <c r="F60" s="68"/>
      <c r="G60" s="68"/>
      <c r="H60" s="68"/>
      <c r="I60" s="67"/>
    </row>
    <row r="61" spans="2:9" ht="16.5">
      <c r="B61" s="68"/>
      <c r="C61" s="68"/>
      <c r="D61" s="68"/>
      <c r="E61" s="68"/>
      <c r="F61" s="68"/>
      <c r="G61" s="68"/>
      <c r="H61" s="68"/>
      <c r="I61" s="68"/>
    </row>
    <row r="62" spans="2:9" ht="16.5">
      <c r="B62" s="68"/>
      <c r="C62" s="68"/>
      <c r="D62" s="68"/>
      <c r="E62" s="68"/>
      <c r="F62" s="68"/>
      <c r="G62" s="68"/>
      <c r="H62" s="68"/>
      <c r="I62" s="70"/>
    </row>
    <row r="63" spans="2:9" ht="16.5">
      <c r="B63" s="68"/>
      <c r="C63" s="68"/>
      <c r="D63" s="68"/>
      <c r="E63" s="68"/>
      <c r="F63" s="68"/>
      <c r="G63" s="68"/>
      <c r="H63" s="68"/>
      <c r="I63" s="68"/>
    </row>
    <row r="64" spans="2:9" ht="16.5">
      <c r="B64" s="68"/>
      <c r="C64" s="68"/>
      <c r="D64" s="68"/>
      <c r="E64" s="68"/>
      <c r="F64" s="68"/>
      <c r="G64" s="68"/>
      <c r="H64" s="68"/>
      <c r="I64" s="68"/>
    </row>
    <row r="65" spans="2:9" ht="16.5">
      <c r="B65" s="68"/>
      <c r="C65" s="68"/>
      <c r="D65" s="68"/>
      <c r="E65" s="68"/>
      <c r="F65" s="68"/>
      <c r="G65" s="68"/>
      <c r="H65" s="68"/>
      <c r="I65" s="68"/>
    </row>
    <row r="66" spans="2:9" ht="16.5">
      <c r="B66" s="68"/>
      <c r="C66" s="68"/>
      <c r="D66" s="68"/>
      <c r="E66" s="67"/>
      <c r="F66" s="67"/>
      <c r="G66" s="68"/>
      <c r="H66" s="68"/>
      <c r="I66" s="68"/>
    </row>
    <row r="67" spans="2:9" ht="16.5">
      <c r="B67" s="68"/>
      <c r="C67" s="68"/>
      <c r="D67" s="68"/>
      <c r="E67" s="67"/>
      <c r="F67" s="67"/>
      <c r="G67" s="68"/>
      <c r="H67" s="68"/>
      <c r="I67" s="68"/>
    </row>
    <row r="68" spans="2:9" ht="16.5">
      <c r="B68" s="68"/>
      <c r="C68" s="68"/>
      <c r="D68" s="68"/>
      <c r="E68" s="67"/>
      <c r="F68" s="67"/>
      <c r="G68" s="68"/>
      <c r="H68" s="68"/>
      <c r="I68" s="67"/>
    </row>
    <row r="69" spans="2:9" ht="16.5">
      <c r="B69" s="68"/>
      <c r="C69" s="68"/>
      <c r="D69" s="68"/>
      <c r="E69" s="67"/>
      <c r="F69" s="67"/>
      <c r="G69" s="68"/>
      <c r="H69" s="68"/>
      <c r="I69" s="67"/>
    </row>
    <row r="70" spans="2:9" ht="16.5">
      <c r="B70" s="68"/>
      <c r="C70" s="68"/>
      <c r="D70" s="68"/>
      <c r="E70" s="67"/>
      <c r="F70" s="67"/>
      <c r="G70" s="68"/>
      <c r="H70" s="68"/>
      <c r="I70" s="67"/>
    </row>
    <row r="71" spans="2:9" ht="16.5">
      <c r="B71" s="68"/>
      <c r="C71" s="68"/>
      <c r="D71" s="68"/>
      <c r="E71" s="67"/>
      <c r="F71" s="67"/>
      <c r="G71" s="68"/>
      <c r="H71" s="68"/>
      <c r="I71" s="67"/>
    </row>
    <row r="72" spans="2:9" ht="16.5">
      <c r="B72" s="68"/>
      <c r="C72" s="68"/>
      <c r="D72" s="68"/>
      <c r="E72" s="67"/>
      <c r="F72" s="67"/>
      <c r="G72" s="68"/>
      <c r="H72" s="68"/>
      <c r="I72" s="67"/>
    </row>
    <row r="73" spans="2:9" ht="16.5">
      <c r="B73" s="68"/>
      <c r="C73" s="68"/>
      <c r="D73" s="68"/>
      <c r="E73" s="67"/>
      <c r="F73" s="67"/>
      <c r="G73" s="68"/>
      <c r="H73" s="68"/>
      <c r="I73" s="67"/>
    </row>
    <row r="74" spans="2:9" ht="16.5">
      <c r="B74" s="68"/>
      <c r="C74" s="68"/>
      <c r="D74" s="68"/>
      <c r="E74" s="67"/>
      <c r="F74" s="67"/>
      <c r="G74" s="68"/>
      <c r="H74" s="68"/>
      <c r="I74" s="67"/>
    </row>
    <row r="75" spans="2:9" ht="16.5">
      <c r="B75" s="68"/>
      <c r="C75" s="68"/>
      <c r="D75" s="68"/>
      <c r="E75" s="67"/>
      <c r="F75" s="67"/>
      <c r="G75" s="68"/>
      <c r="H75" s="68"/>
      <c r="I75" s="67"/>
    </row>
    <row r="76" spans="2:9" ht="16.5">
      <c r="B76" s="68"/>
      <c r="C76" s="68"/>
      <c r="D76" s="68"/>
      <c r="E76" s="67"/>
      <c r="F76" s="67"/>
      <c r="G76" s="68"/>
      <c r="H76" s="68"/>
      <c r="I76" s="67"/>
    </row>
    <row r="77" spans="2:9" ht="16.5">
      <c r="B77" s="68"/>
      <c r="C77" s="68"/>
      <c r="D77" s="68"/>
      <c r="E77" s="68"/>
      <c r="F77" s="68"/>
      <c r="G77" s="68"/>
      <c r="H77" s="68"/>
      <c r="I77" s="71"/>
    </row>
    <row r="78" spans="2:9" ht="16.5">
      <c r="B78" s="68"/>
      <c r="C78" s="68"/>
      <c r="D78" s="68"/>
      <c r="E78" s="68"/>
      <c r="F78" s="68"/>
      <c r="G78" s="68"/>
      <c r="H78" s="68"/>
      <c r="I78" s="67"/>
    </row>
    <row r="79" spans="2:9" ht="16.5">
      <c r="B79" s="68"/>
      <c r="C79" s="68"/>
      <c r="D79" s="68"/>
      <c r="E79" s="68"/>
      <c r="F79" s="68"/>
      <c r="G79" s="68"/>
      <c r="H79" s="68"/>
      <c r="I79" s="70"/>
    </row>
    <row r="80" spans="2:9">
      <c r="B80" s="66"/>
      <c r="C80" s="66"/>
      <c r="D80" s="66"/>
      <c r="E80" s="66"/>
      <c r="F80" s="66"/>
      <c r="G80" s="66"/>
      <c r="H80" s="66"/>
      <c r="I80" s="72"/>
    </row>
  </sheetData>
  <phoneticPr fontId="2" type="noConversion"/>
  <pageMargins left="0.51181102362204722" right="0.74803149606299213" top="0.98425196850393704" bottom="0.98425196850393704" header="0.51181102362204722" footer="0.51181102362204722"/>
  <pageSetup paperSize="9" scale="12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topLeftCell="C1" zoomScale="55" zoomScaleNormal="55" workbookViewId="0">
      <selection activeCell="E13" sqref="E13:F13"/>
    </sheetView>
  </sheetViews>
  <sheetFormatPr defaultRowHeight="15"/>
  <cols>
    <col min="1" max="1" width="6" hidden="1" customWidth="1"/>
    <col min="2" max="2" width="10.5703125" hidden="1" customWidth="1"/>
    <col min="3" max="3" width="8.42578125" style="17" customWidth="1"/>
    <col min="4" max="4" width="27.28515625" style="457" customWidth="1"/>
    <col min="5" max="5" width="15.140625" style="80" customWidth="1"/>
    <col min="6" max="6" width="17" style="15" customWidth="1"/>
    <col min="7" max="7" width="12.42578125" customWidth="1"/>
    <col min="8" max="8" width="11.42578125" customWidth="1"/>
    <col min="9" max="9" width="13.140625" customWidth="1"/>
    <col min="10" max="10" width="7" style="88" customWidth="1"/>
    <col min="11" max="11" width="12.7109375" style="102" customWidth="1"/>
    <col min="12" max="12" width="20.28515625" style="102" customWidth="1"/>
    <col min="15" max="16" width="7" style="88" customWidth="1"/>
    <col min="17" max="17" width="9.85546875" customWidth="1"/>
    <col min="18" max="18" width="8.140625" customWidth="1"/>
    <col min="19" max="19" width="28" customWidth="1"/>
    <col min="20" max="20" width="14.5703125" customWidth="1"/>
    <col min="21" max="21" width="11.85546875" customWidth="1"/>
    <col min="22" max="22" width="10.28515625" customWidth="1"/>
    <col min="23" max="23" width="12.28515625" customWidth="1"/>
    <col min="24" max="24" width="7.42578125" customWidth="1"/>
    <col min="25" max="25" width="16.7109375" customWidth="1"/>
    <col min="26" max="26" width="4.7109375" customWidth="1"/>
    <col min="27" max="29" width="9.42578125" bestFit="1" customWidth="1"/>
  </cols>
  <sheetData>
    <row r="1" spans="1:31" ht="23.25" thickBot="1">
      <c r="A1" s="44" t="s">
        <v>105</v>
      </c>
      <c r="C1" s="389"/>
      <c r="D1" s="438" t="s">
        <v>309</v>
      </c>
      <c r="E1" s="601"/>
      <c r="F1" s="601"/>
      <c r="G1" s="368"/>
      <c r="H1" s="368"/>
      <c r="I1" s="368"/>
      <c r="J1" s="364"/>
    </row>
    <row r="2" spans="1:31" ht="22.5">
      <c r="A2" s="41" t="s">
        <v>98</v>
      </c>
      <c r="B2" s="42" t="s">
        <v>96</v>
      </c>
      <c r="C2" s="390" t="s">
        <v>97</v>
      </c>
      <c r="D2" s="439" t="s">
        <v>94</v>
      </c>
      <c r="E2" s="379" t="s">
        <v>116</v>
      </c>
      <c r="F2" s="380" t="s">
        <v>31</v>
      </c>
      <c r="G2" s="381" t="s">
        <v>40</v>
      </c>
      <c r="H2" s="381" t="s">
        <v>32</v>
      </c>
      <c r="I2" s="382" t="s">
        <v>33</v>
      </c>
      <c r="J2" s="364"/>
      <c r="K2" s="117"/>
      <c r="AE2" s="102"/>
    </row>
    <row r="3" spans="1:31" ht="22.5">
      <c r="A3" s="43" t="e">
        <f>+#REF!+1</f>
        <v>#REF!</v>
      </c>
      <c r="B3" s="1" t="s">
        <v>95</v>
      </c>
      <c r="C3" s="391">
        <v>100</v>
      </c>
      <c r="D3" s="440" t="s">
        <v>4</v>
      </c>
      <c r="E3" s="383">
        <f>+'MAR 24'!N19</f>
        <v>119744</v>
      </c>
      <c r="F3" s="384">
        <f>+'MAR 24'!E19</f>
        <v>101032</v>
      </c>
      <c r="G3" s="384">
        <f>+F3*12%</f>
        <v>12123.84</v>
      </c>
      <c r="H3" s="384">
        <v>1250</v>
      </c>
      <c r="I3" s="471">
        <f>+G3-H3</f>
        <v>10873.84</v>
      </c>
      <c r="J3" s="364">
        <v>1</v>
      </c>
      <c r="K3" s="33"/>
      <c r="O3" s="365"/>
      <c r="P3" s="365"/>
      <c r="AE3" s="78"/>
    </row>
    <row r="4" spans="1:31" ht="22.5">
      <c r="A4" s="43" t="e">
        <f>+#REF!+1</f>
        <v>#REF!</v>
      </c>
      <c r="B4" s="1" t="s">
        <v>95</v>
      </c>
      <c r="C4" s="391">
        <v>41</v>
      </c>
      <c r="D4" s="440" t="s">
        <v>115</v>
      </c>
      <c r="E4" s="383">
        <f>+'MAR 24'!N25</f>
        <v>111868</v>
      </c>
      <c r="F4" s="384">
        <f>+'MAR 24'!E25</f>
        <v>96360</v>
      </c>
      <c r="G4" s="384">
        <f t="shared" ref="G4:G22" si="0">+F4*12%</f>
        <v>11563.199999999999</v>
      </c>
      <c r="H4" s="384">
        <v>1250</v>
      </c>
      <c r="I4" s="471">
        <f t="shared" ref="I4:I23" si="1">+G4-H4</f>
        <v>10313.199999999999</v>
      </c>
      <c r="J4" s="364">
        <f>+J3+1</f>
        <v>2</v>
      </c>
      <c r="K4" s="33"/>
      <c r="O4" s="365"/>
      <c r="P4" s="365"/>
      <c r="AE4" s="78"/>
    </row>
    <row r="5" spans="1:31" ht="22.5">
      <c r="A5" s="43" t="e">
        <f>+#REF!+1</f>
        <v>#REF!</v>
      </c>
      <c r="B5" s="1" t="s">
        <v>95</v>
      </c>
      <c r="C5" s="391">
        <v>99</v>
      </c>
      <c r="D5" s="440" t="s">
        <v>75</v>
      </c>
      <c r="E5" s="383">
        <f>+'MAR 24'!N11</f>
        <v>130210</v>
      </c>
      <c r="F5" s="384">
        <f>+'MAR 24'!E11</f>
        <v>123954</v>
      </c>
      <c r="G5" s="384">
        <f t="shared" si="0"/>
        <v>14874.48</v>
      </c>
      <c r="H5" s="384">
        <v>1250</v>
      </c>
      <c r="I5" s="471">
        <f t="shared" si="1"/>
        <v>13624.48</v>
      </c>
      <c r="J5" s="364">
        <f t="shared" ref="J5:J19" si="2">+J4+1</f>
        <v>3</v>
      </c>
      <c r="K5" s="33"/>
      <c r="O5" s="365"/>
      <c r="P5" s="365"/>
      <c r="AE5" s="78"/>
    </row>
    <row r="6" spans="1:31" ht="22.5">
      <c r="A6" s="43" t="e">
        <f>+#REF!+1</f>
        <v>#REF!</v>
      </c>
      <c r="B6" s="1" t="s">
        <v>95</v>
      </c>
      <c r="C6" s="391">
        <v>21</v>
      </c>
      <c r="D6" s="551" t="s">
        <v>22</v>
      </c>
      <c r="E6" s="383">
        <f>+'MAR 24'!N27</f>
        <v>91812</v>
      </c>
      <c r="F6" s="384">
        <f>+'MAR 24'!E27</f>
        <v>88184</v>
      </c>
      <c r="G6" s="384">
        <f t="shared" si="0"/>
        <v>10582.08</v>
      </c>
      <c r="H6" s="384">
        <v>0</v>
      </c>
      <c r="I6" s="471">
        <f t="shared" si="1"/>
        <v>10582.08</v>
      </c>
      <c r="J6" s="364">
        <v>4</v>
      </c>
      <c r="K6" s="33"/>
      <c r="O6" s="365"/>
      <c r="P6" s="365"/>
      <c r="AE6" s="78"/>
    </row>
    <row r="7" spans="1:31" ht="22.5">
      <c r="A7" s="43" t="e">
        <f t="shared" ref="A7:A12" si="3">+A6+1</f>
        <v>#REF!</v>
      </c>
      <c r="B7" s="1" t="s">
        <v>95</v>
      </c>
      <c r="C7" s="392">
        <v>101</v>
      </c>
      <c r="D7" s="441" t="s">
        <v>23</v>
      </c>
      <c r="E7" s="385">
        <f>+'MAR 24'!N22</f>
        <v>111868</v>
      </c>
      <c r="F7" s="385">
        <f>+'MAR 24'!E22</f>
        <v>96360</v>
      </c>
      <c r="G7" s="384">
        <f t="shared" si="0"/>
        <v>11563.199999999999</v>
      </c>
      <c r="H7" s="384">
        <v>1250</v>
      </c>
      <c r="I7" s="471">
        <f t="shared" si="1"/>
        <v>10313.199999999999</v>
      </c>
      <c r="J7" s="364">
        <f t="shared" si="2"/>
        <v>5</v>
      </c>
      <c r="K7" s="33"/>
      <c r="O7" s="365"/>
      <c r="P7" s="365"/>
      <c r="S7" s="345">
        <v>45352</v>
      </c>
      <c r="AE7" s="78"/>
    </row>
    <row r="8" spans="1:31" ht="22.5">
      <c r="A8" s="43" t="e">
        <f>+#REF!+1</f>
        <v>#REF!</v>
      </c>
      <c r="B8" s="1" t="s">
        <v>95</v>
      </c>
      <c r="C8" s="391">
        <v>39</v>
      </c>
      <c r="D8" s="440" t="s">
        <v>5</v>
      </c>
      <c r="E8" s="383">
        <f>+'MAR 24'!N13</f>
        <v>193872</v>
      </c>
      <c r="F8" s="384">
        <f>+'MAR 24'!E13</f>
        <v>167024</v>
      </c>
      <c r="G8" s="384">
        <f t="shared" si="0"/>
        <v>20042.88</v>
      </c>
      <c r="H8" s="384">
        <v>1250</v>
      </c>
      <c r="I8" s="471">
        <f t="shared" si="1"/>
        <v>18792.88</v>
      </c>
      <c r="J8" s="364">
        <f t="shared" si="2"/>
        <v>6</v>
      </c>
      <c r="K8" s="33"/>
      <c r="O8" s="365"/>
      <c r="P8" s="365"/>
      <c r="AE8" s="78"/>
    </row>
    <row r="9" spans="1:31" ht="22.5">
      <c r="A9" s="43" t="e">
        <f>+#REF!+1</f>
        <v>#REF!</v>
      </c>
      <c r="B9" s="1" t="s">
        <v>95</v>
      </c>
      <c r="C9" s="391">
        <v>104</v>
      </c>
      <c r="D9" s="440" t="s">
        <v>104</v>
      </c>
      <c r="E9" s="383">
        <f>+'MAR 24'!N28</f>
        <v>79475</v>
      </c>
      <c r="F9" s="384">
        <f>+'MAR 24'!E28</f>
        <v>75190</v>
      </c>
      <c r="G9" s="384">
        <f t="shared" si="0"/>
        <v>9022.7999999999993</v>
      </c>
      <c r="H9" s="384">
        <v>1250</v>
      </c>
      <c r="I9" s="471">
        <f t="shared" si="1"/>
        <v>7772.7999999999993</v>
      </c>
      <c r="J9" s="364">
        <v>7</v>
      </c>
      <c r="K9" s="33"/>
      <c r="O9" s="365"/>
      <c r="P9" s="365"/>
      <c r="R9" s="99" t="s">
        <v>79</v>
      </c>
      <c r="S9" s="97"/>
      <c r="T9" s="97"/>
      <c r="U9" s="97"/>
      <c r="V9" s="97"/>
      <c r="W9" s="97"/>
      <c r="X9" s="97"/>
      <c r="Y9" s="97"/>
      <c r="AE9" s="78"/>
    </row>
    <row r="10" spans="1:31" ht="22.5">
      <c r="A10" s="43" t="e">
        <f>+#REF!+1</f>
        <v>#REF!</v>
      </c>
      <c r="B10" s="1" t="s">
        <v>95</v>
      </c>
      <c r="C10" s="391">
        <v>91</v>
      </c>
      <c r="D10" s="440" t="s">
        <v>2</v>
      </c>
      <c r="E10" s="383">
        <f>+'MAR 24'!N17</f>
        <v>119990</v>
      </c>
      <c r="F10" s="384">
        <f>+'MAR 24'!E17</f>
        <v>113734</v>
      </c>
      <c r="G10" s="384">
        <f t="shared" si="0"/>
        <v>13648.08</v>
      </c>
      <c r="H10" s="384">
        <v>1250</v>
      </c>
      <c r="I10" s="471">
        <f t="shared" si="1"/>
        <v>12398.08</v>
      </c>
      <c r="J10" s="364">
        <f t="shared" si="2"/>
        <v>8</v>
      </c>
      <c r="K10" s="33"/>
      <c r="O10" s="365"/>
      <c r="P10" s="365"/>
      <c r="R10" s="97" t="s">
        <v>80</v>
      </c>
      <c r="S10" s="97"/>
      <c r="T10" s="97">
        <f>+F29</f>
        <v>2008137</v>
      </c>
      <c r="U10" s="98"/>
      <c r="V10" s="98"/>
      <c r="W10" s="98"/>
      <c r="X10" s="98"/>
      <c r="Y10" s="98"/>
      <c r="AE10" s="78"/>
    </row>
    <row r="11" spans="1:31" ht="22.5">
      <c r="A11" s="43" t="e">
        <f t="shared" si="3"/>
        <v>#REF!</v>
      </c>
      <c r="B11" s="1" t="s">
        <v>95</v>
      </c>
      <c r="C11" s="391">
        <v>42</v>
      </c>
      <c r="D11" s="440" t="s">
        <v>112</v>
      </c>
      <c r="E11" s="383">
        <f>+'MAR 24'!N9</f>
        <v>160432</v>
      </c>
      <c r="F11" s="384">
        <f>+'MAR 24'!E9</f>
        <v>154176</v>
      </c>
      <c r="G11" s="384">
        <f t="shared" si="0"/>
        <v>18501.12</v>
      </c>
      <c r="H11" s="384">
        <v>1250</v>
      </c>
      <c r="I11" s="471">
        <f t="shared" si="1"/>
        <v>17251.12</v>
      </c>
      <c r="J11" s="364">
        <f t="shared" si="2"/>
        <v>9</v>
      </c>
      <c r="K11" s="33"/>
      <c r="O11" s="365"/>
      <c r="P11" s="365"/>
      <c r="R11" s="103" t="s">
        <v>81</v>
      </c>
      <c r="S11" s="103" t="s">
        <v>82</v>
      </c>
      <c r="T11" s="103" t="s">
        <v>83</v>
      </c>
      <c r="U11" s="103" t="s">
        <v>84</v>
      </c>
      <c r="V11" s="103" t="s">
        <v>85</v>
      </c>
      <c r="W11" s="103" t="s">
        <v>86</v>
      </c>
      <c r="X11" s="103" t="s">
        <v>87</v>
      </c>
      <c r="Y11" s="104" t="s">
        <v>88</v>
      </c>
      <c r="AE11" s="78"/>
    </row>
    <row r="12" spans="1:31" s="15" customFormat="1" ht="22.5">
      <c r="A12" s="287" t="e">
        <f t="shared" si="3"/>
        <v>#REF!</v>
      </c>
      <c r="B12" s="16" t="s">
        <v>95</v>
      </c>
      <c r="C12" s="391">
        <v>30</v>
      </c>
      <c r="D12" s="440" t="s">
        <v>25</v>
      </c>
      <c r="E12" s="383">
        <f>+'MAR 24'!N21</f>
        <v>71307</v>
      </c>
      <c r="F12" s="384">
        <f>+'MAR 24'!E21</f>
        <v>71307</v>
      </c>
      <c r="G12" s="384">
        <f t="shared" si="0"/>
        <v>8556.84</v>
      </c>
      <c r="H12" s="384">
        <v>0</v>
      </c>
      <c r="I12" s="471">
        <f t="shared" si="1"/>
        <v>8556.84</v>
      </c>
      <c r="J12" s="364">
        <v>10</v>
      </c>
      <c r="K12" s="33"/>
      <c r="L12" s="102"/>
      <c r="O12" s="365"/>
      <c r="P12" s="365"/>
      <c r="R12" s="97">
        <v>1</v>
      </c>
      <c r="S12" s="97" t="s">
        <v>89</v>
      </c>
      <c r="T12" s="97">
        <f>+I29+0</f>
        <v>219727.44</v>
      </c>
      <c r="U12" s="97">
        <v>0</v>
      </c>
      <c r="V12" s="97">
        <f>+H29</f>
        <v>21250</v>
      </c>
      <c r="W12" s="97"/>
      <c r="X12" s="97">
        <v>0</v>
      </c>
      <c r="Y12" s="99">
        <f>+T12+U12+V12+W12+X12</f>
        <v>240977.44</v>
      </c>
      <c r="AE12" s="78"/>
    </row>
    <row r="13" spans="1:31" ht="22.5">
      <c r="A13" s="1" t="e">
        <f>+#REF!+1</f>
        <v>#REF!</v>
      </c>
      <c r="B13" s="1" t="s">
        <v>95</v>
      </c>
      <c r="C13" s="391">
        <v>43</v>
      </c>
      <c r="D13" s="440" t="s">
        <v>1</v>
      </c>
      <c r="E13" s="383">
        <f>+'MAR 24'!N7+0</f>
        <v>196932</v>
      </c>
      <c r="F13" s="384">
        <f>+'MAR 24'!E7+0</f>
        <v>190676</v>
      </c>
      <c r="G13" s="384">
        <f t="shared" si="0"/>
        <v>22881.119999999999</v>
      </c>
      <c r="H13" s="384">
        <v>1250</v>
      </c>
      <c r="I13" s="471">
        <f t="shared" si="1"/>
        <v>21631.119999999999</v>
      </c>
      <c r="J13" s="364">
        <f t="shared" si="2"/>
        <v>11</v>
      </c>
      <c r="K13" s="33"/>
      <c r="O13" s="365"/>
      <c r="P13" s="365"/>
      <c r="R13" s="97">
        <v>2</v>
      </c>
      <c r="S13" s="97" t="s">
        <v>90</v>
      </c>
      <c r="T13" s="97">
        <f>+G29+0</f>
        <v>240977.44</v>
      </c>
      <c r="U13" s="97">
        <v>0</v>
      </c>
      <c r="V13" s="97">
        <v>0</v>
      </c>
      <c r="W13" s="97">
        <v>0</v>
      </c>
      <c r="X13" s="97">
        <v>0</v>
      </c>
      <c r="Y13" s="99">
        <f t="shared" ref="Y13:Y15" si="4">+T13+U13+V13+W13+X13</f>
        <v>240977.44</v>
      </c>
      <c r="AB13" s="79"/>
      <c r="AE13" s="78"/>
    </row>
    <row r="14" spans="1:31" ht="22.5">
      <c r="A14" s="1">
        <v>28</v>
      </c>
      <c r="B14" s="1" t="s">
        <v>95</v>
      </c>
      <c r="C14" s="391">
        <v>98</v>
      </c>
      <c r="D14" s="440" t="s">
        <v>3</v>
      </c>
      <c r="E14" s="383">
        <f>+'MAR 24'!N18</f>
        <v>110354</v>
      </c>
      <c r="F14" s="384">
        <f>+'MAR 24'!E18</f>
        <v>104098</v>
      </c>
      <c r="G14" s="384">
        <f t="shared" si="0"/>
        <v>12491.76</v>
      </c>
      <c r="H14" s="384">
        <v>1250</v>
      </c>
      <c r="I14" s="471">
        <f t="shared" si="1"/>
        <v>11241.76</v>
      </c>
      <c r="J14" s="364">
        <f t="shared" si="2"/>
        <v>12</v>
      </c>
      <c r="K14" s="33"/>
      <c r="O14" s="365"/>
      <c r="P14" s="365"/>
      <c r="Q14" s="15"/>
      <c r="R14" s="97">
        <v>3</v>
      </c>
      <c r="S14" s="97" t="s">
        <v>91</v>
      </c>
      <c r="T14" s="97">
        <v>0</v>
      </c>
      <c r="U14" s="464">
        <f>+H36</f>
        <v>10040.684999999999</v>
      </c>
      <c r="V14" s="464">
        <v>0</v>
      </c>
      <c r="W14" s="464">
        <f>+H38</f>
        <v>1575</v>
      </c>
      <c r="X14" s="97">
        <f>+H37</f>
        <v>0</v>
      </c>
      <c r="Y14" s="99">
        <f>+T14+U14+V14+W14+X14+0</f>
        <v>11615.684999999999</v>
      </c>
      <c r="AE14" s="78"/>
    </row>
    <row r="15" spans="1:31" ht="22.5">
      <c r="A15" s="123"/>
      <c r="B15" s="77"/>
      <c r="C15" s="391">
        <v>10108</v>
      </c>
      <c r="D15" s="479" t="s">
        <v>125</v>
      </c>
      <c r="E15" s="388">
        <f>+'MAR 24'!N35</f>
        <v>58524</v>
      </c>
      <c r="F15" s="388">
        <f>+'MAR 24'!E35</f>
        <v>54896</v>
      </c>
      <c r="G15" s="384">
        <f t="shared" si="0"/>
        <v>6587.5199999999995</v>
      </c>
      <c r="H15" s="384">
        <v>1250</v>
      </c>
      <c r="I15" s="471">
        <f t="shared" si="1"/>
        <v>5337.5199999999995</v>
      </c>
      <c r="J15" s="364">
        <f t="shared" si="2"/>
        <v>13</v>
      </c>
      <c r="K15" s="33"/>
      <c r="O15" s="365"/>
      <c r="P15" s="365"/>
      <c r="Q15" s="15"/>
      <c r="R15" s="97">
        <v>4</v>
      </c>
      <c r="S15" s="97" t="s">
        <v>92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9">
        <f t="shared" si="4"/>
        <v>0</v>
      </c>
      <c r="AE15" s="78"/>
    </row>
    <row r="16" spans="1:31" ht="22.5">
      <c r="A16" s="123"/>
      <c r="B16" s="77"/>
      <c r="C16" s="391">
        <v>10111</v>
      </c>
      <c r="D16" s="442" t="s">
        <v>127</v>
      </c>
      <c r="E16" s="388">
        <f>+'MAR 24'!N30</f>
        <v>63634</v>
      </c>
      <c r="F16" s="384">
        <v>60006</v>
      </c>
      <c r="G16" s="384">
        <f t="shared" si="0"/>
        <v>7200.7199999999993</v>
      </c>
      <c r="H16" s="384">
        <v>1250</v>
      </c>
      <c r="I16" s="471">
        <f t="shared" si="1"/>
        <v>5950.7199999999993</v>
      </c>
      <c r="J16" s="364">
        <f t="shared" si="2"/>
        <v>14</v>
      </c>
      <c r="K16" s="33"/>
      <c r="O16" s="365"/>
      <c r="P16" s="365"/>
      <c r="Q16" s="15"/>
      <c r="R16" s="97" t="s">
        <v>93</v>
      </c>
      <c r="S16" s="97" t="s">
        <v>0</v>
      </c>
      <c r="T16" s="99">
        <f>SUM(T12:T15)-1</f>
        <v>460703.88</v>
      </c>
      <c r="U16" s="99">
        <f>SUM(U12:U15)</f>
        <v>10040.684999999999</v>
      </c>
      <c r="V16" s="99">
        <f>SUM(V12:V15)</f>
        <v>21250</v>
      </c>
      <c r="W16" s="99">
        <f>SUM(W12:W15)</f>
        <v>1575</v>
      </c>
      <c r="X16" s="99">
        <f>SUM(X12:X15)</f>
        <v>0</v>
      </c>
      <c r="Y16" s="99">
        <f>ROUND(+Y12+Y13+Y14+Y15,0)</f>
        <v>493571</v>
      </c>
      <c r="AE16" s="78"/>
    </row>
    <row r="17" spans="1:32" ht="22.5">
      <c r="A17" s="123"/>
      <c r="B17" s="77"/>
      <c r="C17" s="391">
        <v>10110</v>
      </c>
      <c r="D17" s="442" t="s">
        <v>126</v>
      </c>
      <c r="E17" s="388">
        <f>+'MAR 24'!N31</f>
        <v>63634</v>
      </c>
      <c r="F17" s="384">
        <v>60006</v>
      </c>
      <c r="G17" s="384">
        <f t="shared" si="0"/>
        <v>7200.7199999999993</v>
      </c>
      <c r="H17" s="384">
        <v>1250</v>
      </c>
      <c r="I17" s="471">
        <f t="shared" si="1"/>
        <v>5950.7199999999993</v>
      </c>
      <c r="J17" s="364">
        <f t="shared" si="2"/>
        <v>15</v>
      </c>
      <c r="K17" s="33"/>
      <c r="O17" s="365"/>
      <c r="P17" s="365"/>
      <c r="R17" s="15"/>
      <c r="S17" s="33"/>
      <c r="T17" s="79"/>
      <c r="W17">
        <v>9668</v>
      </c>
      <c r="AE17" s="78"/>
      <c r="AF17" s="79"/>
    </row>
    <row r="18" spans="1:32" s="219" customFormat="1" ht="30">
      <c r="A18" s="123"/>
      <c r="B18" s="77"/>
      <c r="C18" s="391">
        <v>10113</v>
      </c>
      <c r="D18" s="480" t="s">
        <v>140</v>
      </c>
      <c r="E18" s="388">
        <f>+'MAR 24'!N32</f>
        <v>58524</v>
      </c>
      <c r="F18" s="384">
        <v>54896</v>
      </c>
      <c r="G18" s="384">
        <f t="shared" si="0"/>
        <v>6587.5199999999995</v>
      </c>
      <c r="H18" s="384">
        <v>1250</v>
      </c>
      <c r="I18" s="471">
        <f t="shared" si="1"/>
        <v>5337.5199999999995</v>
      </c>
      <c r="J18" s="364">
        <f t="shared" si="2"/>
        <v>16</v>
      </c>
      <c r="K18" s="33"/>
      <c r="L18" s="102"/>
      <c r="O18" s="365"/>
      <c r="P18" s="365"/>
      <c r="Q18" s="15"/>
      <c r="R18" s="15"/>
      <c r="S18" s="33"/>
      <c r="T18" s="79"/>
      <c r="AE18" s="78"/>
    </row>
    <row r="19" spans="1:32" s="219" customFormat="1" ht="22.5">
      <c r="A19" s="123"/>
      <c r="B19" s="77"/>
      <c r="C19" s="391">
        <v>10112</v>
      </c>
      <c r="D19" s="443" t="s">
        <v>141</v>
      </c>
      <c r="E19" s="388">
        <f>+'MAR 24'!N33</f>
        <v>58524</v>
      </c>
      <c r="F19" s="384">
        <v>54896</v>
      </c>
      <c r="G19" s="384">
        <f t="shared" si="0"/>
        <v>6587.5199999999995</v>
      </c>
      <c r="H19" s="384">
        <v>1250</v>
      </c>
      <c r="I19" s="471">
        <f t="shared" si="1"/>
        <v>5337.5199999999995</v>
      </c>
      <c r="J19" s="364">
        <f t="shared" si="2"/>
        <v>17</v>
      </c>
      <c r="K19" s="33"/>
      <c r="L19" s="102"/>
      <c r="O19" s="365"/>
      <c r="P19" s="365"/>
      <c r="Q19" s="15"/>
      <c r="R19" s="15"/>
      <c r="S19" s="33"/>
      <c r="T19" s="79"/>
      <c r="U19" s="322"/>
      <c r="V19" s="221"/>
      <c r="Y19" s="478"/>
      <c r="Z19" s="478"/>
      <c r="AA19" s="478">
        <f>234189*2</f>
        <v>468378</v>
      </c>
      <c r="AB19" s="478"/>
      <c r="AE19" s="78"/>
    </row>
    <row r="20" spans="1:32" s="219" customFormat="1" ht="23.25" thickBot="1">
      <c r="A20" s="123"/>
      <c r="B20" s="77"/>
      <c r="C20" s="391">
        <v>10114</v>
      </c>
      <c r="D20" s="443" t="s">
        <v>229</v>
      </c>
      <c r="E20" s="388">
        <f>+'MAR 24'!N36</f>
        <v>71810</v>
      </c>
      <c r="F20" s="384">
        <f>+'MAR 24'!E36</f>
        <v>65554</v>
      </c>
      <c r="G20" s="384">
        <f t="shared" si="0"/>
        <v>7866.48</v>
      </c>
      <c r="H20" s="384">
        <v>0</v>
      </c>
      <c r="I20" s="471">
        <f t="shared" si="1"/>
        <v>7866.48</v>
      </c>
      <c r="J20" s="364">
        <v>18</v>
      </c>
      <c r="K20" s="33"/>
      <c r="L20" s="102"/>
      <c r="O20" s="365"/>
      <c r="P20" s="365"/>
      <c r="Q20" s="15"/>
      <c r="R20" s="15"/>
      <c r="S20" s="33"/>
      <c r="T20" s="79"/>
      <c r="U20" s="83"/>
      <c r="Y20" s="478"/>
      <c r="Z20" s="478"/>
      <c r="AA20" s="478"/>
      <c r="AB20" s="478"/>
      <c r="AE20" s="78"/>
    </row>
    <row r="21" spans="1:32" ht="22.5">
      <c r="A21" s="123"/>
      <c r="B21" s="77"/>
      <c r="C21" s="391">
        <v>10105</v>
      </c>
      <c r="D21" s="442" t="s">
        <v>230</v>
      </c>
      <c r="E21" s="388">
        <f>+'MAR 24'!N37</f>
        <v>55312</v>
      </c>
      <c r="F21" s="384">
        <f>+'MAR 24'!E37</f>
        <v>51684</v>
      </c>
      <c r="G21" s="384">
        <f t="shared" si="0"/>
        <v>6202.08</v>
      </c>
      <c r="H21" s="384">
        <v>1250</v>
      </c>
      <c r="I21" s="471">
        <f t="shared" si="1"/>
        <v>4952.08</v>
      </c>
      <c r="J21" s="364">
        <v>19</v>
      </c>
      <c r="K21" s="33"/>
      <c r="O21" s="365"/>
      <c r="P21" s="365"/>
      <c r="Q21" s="15"/>
      <c r="R21" s="329" t="s">
        <v>219</v>
      </c>
      <c r="S21" s="330" t="s">
        <v>217</v>
      </c>
      <c r="T21" s="331">
        <f>+Y12</f>
        <v>240977.44</v>
      </c>
      <c r="U21" s="332"/>
      <c r="V21" s="15"/>
      <c r="Y21" s="478"/>
      <c r="Z21" s="478"/>
      <c r="AA21" s="478"/>
      <c r="AB21" s="478"/>
      <c r="AE21" s="78"/>
    </row>
    <row r="22" spans="1:32" s="219" customFormat="1" ht="23.25" thickBot="1">
      <c r="A22" s="123"/>
      <c r="B22" s="77"/>
      <c r="C22" s="392">
        <v>10116</v>
      </c>
      <c r="D22" s="441" t="str">
        <f>+'MAR 24'!B40</f>
        <v xml:space="preserve">SANDEEP  KHAPRA   </v>
      </c>
      <c r="E22" s="388">
        <f>+'MAR 24'!N40</f>
        <v>25000</v>
      </c>
      <c r="F22" s="385">
        <f>+E22</f>
        <v>25000</v>
      </c>
      <c r="G22" s="384">
        <f t="shared" si="0"/>
        <v>3000</v>
      </c>
      <c r="H22" s="384">
        <v>0</v>
      </c>
      <c r="I22" s="471">
        <f t="shared" si="1"/>
        <v>3000</v>
      </c>
      <c r="J22" s="364">
        <v>20</v>
      </c>
      <c r="K22" s="33"/>
      <c r="L22" s="102"/>
      <c r="O22" s="365"/>
      <c r="P22" s="365"/>
      <c r="Q22" s="15"/>
      <c r="R22" s="333" t="s">
        <v>220</v>
      </c>
      <c r="S22" s="334" t="s">
        <v>218</v>
      </c>
      <c r="T22" s="334"/>
      <c r="U22" s="335"/>
      <c r="Y22" s="478"/>
      <c r="Z22" s="478"/>
      <c r="AA22" s="478"/>
      <c r="AB22" s="478"/>
      <c r="AE22" s="78"/>
    </row>
    <row r="23" spans="1:32" s="219" customFormat="1" ht="21.75" customHeight="1">
      <c r="A23" s="123"/>
      <c r="B23" s="77"/>
      <c r="C23" s="392"/>
      <c r="D23" s="537" t="s">
        <v>313</v>
      </c>
      <c r="E23" s="388">
        <v>17500</v>
      </c>
      <c r="F23" s="388">
        <v>17500</v>
      </c>
      <c r="G23" s="384">
        <f>+F23*12%</f>
        <v>2100</v>
      </c>
      <c r="H23" s="384">
        <v>0</v>
      </c>
      <c r="I23" s="471">
        <f t="shared" si="1"/>
        <v>2100</v>
      </c>
      <c r="J23" s="364">
        <v>21</v>
      </c>
      <c r="K23" s="33"/>
      <c r="L23" s="102"/>
      <c r="O23" s="365"/>
      <c r="P23" s="365"/>
      <c r="Q23" s="15"/>
      <c r="R23" s="319"/>
      <c r="S23" s="319"/>
      <c r="T23" s="319"/>
      <c r="U23" s="319"/>
      <c r="Y23" s="478"/>
      <c r="Z23" s="478"/>
      <c r="AA23" s="478"/>
      <c r="AB23" s="478"/>
      <c r="AD23" s="246"/>
      <c r="AE23" s="78"/>
    </row>
    <row r="24" spans="1:32" s="219" customFormat="1" ht="22.5">
      <c r="A24" s="123"/>
      <c r="B24" s="77"/>
      <c r="C24" s="392"/>
      <c r="D24" s="537" t="s">
        <v>314</v>
      </c>
      <c r="E24" s="388">
        <v>17500</v>
      </c>
      <c r="F24" s="388">
        <v>17500</v>
      </c>
      <c r="G24" s="384">
        <f>+F24*12%</f>
        <v>2100</v>
      </c>
      <c r="H24" s="384">
        <v>0</v>
      </c>
      <c r="I24" s="471">
        <f t="shared" ref="I24" si="5">+G24-H24</f>
        <v>2100</v>
      </c>
      <c r="J24" s="364">
        <v>22</v>
      </c>
      <c r="K24" s="33"/>
      <c r="L24" s="102"/>
      <c r="O24" s="365"/>
      <c r="P24" s="365"/>
      <c r="Q24" s="15"/>
      <c r="R24" s="319"/>
      <c r="S24" s="319"/>
      <c r="T24" s="319"/>
      <c r="U24" s="319"/>
      <c r="Y24" s="478"/>
      <c r="Z24" s="478"/>
      <c r="AA24" s="478"/>
      <c r="AB24" s="478"/>
      <c r="AE24" s="78"/>
    </row>
    <row r="25" spans="1:32" s="219" customFormat="1" ht="23.25" thickBot="1">
      <c r="A25" s="123"/>
      <c r="B25" s="77"/>
      <c r="C25" s="392"/>
      <c r="D25" s="441"/>
      <c r="E25" s="388"/>
      <c r="F25" s="385"/>
      <c r="G25" s="384"/>
      <c r="H25" s="384"/>
      <c r="I25" s="471"/>
      <c r="J25" s="364"/>
      <c r="K25" s="33"/>
      <c r="O25" s="365"/>
      <c r="P25" s="365"/>
      <c r="Q25" s="15"/>
      <c r="R25" s="321"/>
      <c r="S25" s="221"/>
      <c r="T25" s="221"/>
      <c r="U25" s="221"/>
      <c r="Y25" s="478"/>
      <c r="Z25" s="478"/>
      <c r="AA25" s="478"/>
      <c r="AB25" s="478"/>
      <c r="AE25" s="78"/>
    </row>
    <row r="26" spans="1:32" ht="23.25" thickBot="1">
      <c r="A26" s="75"/>
      <c r="B26" s="76"/>
      <c r="C26" s="472"/>
      <c r="D26" s="473" t="s">
        <v>101</v>
      </c>
      <c r="E26" s="474">
        <f>SUM(E3:E25)</f>
        <v>1987826</v>
      </c>
      <c r="F26" s="474">
        <f t="shared" ref="F26:H26" si="6">SUM(F3:F25)</f>
        <v>1844033</v>
      </c>
      <c r="G26" s="474">
        <f>SUM(G3:G25)+1</f>
        <v>221284.96</v>
      </c>
      <c r="H26" s="474">
        <f t="shared" si="6"/>
        <v>20000</v>
      </c>
      <c r="I26" s="474">
        <f>+G26-H26</f>
        <v>201284.96</v>
      </c>
      <c r="J26" s="364"/>
      <c r="K26" s="119"/>
      <c r="M26">
        <f>+G27*2</f>
        <v>39384.959999999999</v>
      </c>
      <c r="O26" s="120"/>
      <c r="P26" s="120"/>
      <c r="R26" s="329"/>
      <c r="S26" s="330"/>
      <c r="T26" s="336" t="s">
        <v>221</v>
      </c>
      <c r="U26" s="487">
        <f>+G27*2-1</f>
        <v>39383.96</v>
      </c>
      <c r="W26" s="221"/>
      <c r="X26" s="221"/>
      <c r="Y26" s="478"/>
      <c r="Z26" s="478"/>
      <c r="AA26" s="478"/>
      <c r="AB26" s="478"/>
      <c r="AE26" s="102"/>
    </row>
    <row r="27" spans="1:32" ht="23.25" thickTop="1">
      <c r="A27" s="73">
        <v>29</v>
      </c>
      <c r="B27" s="74" t="s">
        <v>95</v>
      </c>
      <c r="C27" s="387">
        <v>103</v>
      </c>
      <c r="D27" s="440" t="s">
        <v>100</v>
      </c>
      <c r="E27" s="383">
        <f>+'MAR 24'!N53</f>
        <v>190592</v>
      </c>
      <c r="F27" s="384">
        <f>+'MAR 24'!G53+'MAR 24'!H53+0</f>
        <v>164104</v>
      </c>
      <c r="G27" s="384">
        <f t="shared" ref="G27" si="7">+F27*12%</f>
        <v>19692.48</v>
      </c>
      <c r="H27" s="384">
        <v>1250</v>
      </c>
      <c r="I27" s="471">
        <f t="shared" ref="I27" si="8">+G27-H27</f>
        <v>18442.48</v>
      </c>
      <c r="J27" s="364">
        <v>23</v>
      </c>
      <c r="K27" s="33"/>
      <c r="O27" s="365"/>
      <c r="P27" s="365"/>
      <c r="R27" s="337"/>
      <c r="S27" s="221"/>
      <c r="T27" s="221" t="s">
        <v>12</v>
      </c>
      <c r="U27" s="338">
        <v>60</v>
      </c>
      <c r="V27" s="319"/>
      <c r="W27" s="319"/>
      <c r="X27" s="320"/>
      <c r="Y27" s="478"/>
      <c r="Z27" s="478"/>
      <c r="AA27" s="478"/>
      <c r="AB27" s="478"/>
      <c r="AE27" s="102"/>
    </row>
    <row r="28" spans="1:32" s="219" customFormat="1" ht="22.5" hidden="1">
      <c r="A28" s="221"/>
      <c r="B28" s="221"/>
      <c r="C28" s="433"/>
      <c r="D28" s="440"/>
      <c r="E28" s="383"/>
      <c r="F28" s="384"/>
      <c r="G28" s="384"/>
      <c r="H28" s="384"/>
      <c r="I28" s="386"/>
      <c r="J28" s="364"/>
      <c r="L28" s="102"/>
      <c r="O28" s="365"/>
      <c r="P28" s="365"/>
      <c r="R28" s="337"/>
      <c r="S28" s="221"/>
      <c r="T28" s="221"/>
      <c r="U28" s="338"/>
      <c r="V28" s="319"/>
      <c r="W28" s="319"/>
      <c r="X28" s="320"/>
      <c r="Y28" s="478"/>
      <c r="Z28" s="478"/>
      <c r="AA28" s="478"/>
      <c r="AB28" s="478"/>
    </row>
    <row r="29" spans="1:32" ht="25.5" customHeight="1" thickBot="1">
      <c r="C29" s="393"/>
      <c r="D29" s="444" t="s">
        <v>102</v>
      </c>
      <c r="E29" s="348"/>
      <c r="F29" s="434">
        <f>+F26+F27+F28</f>
        <v>2008137</v>
      </c>
      <c r="G29" s="437">
        <f>+G26+G27+G28+0</f>
        <v>240977.44</v>
      </c>
      <c r="H29" s="434">
        <f>+H26+H27+H28</f>
        <v>21250</v>
      </c>
      <c r="I29" s="437">
        <f>+I26+I27+I28+0</f>
        <v>219727.44</v>
      </c>
      <c r="J29" s="364"/>
      <c r="K29" s="119"/>
      <c r="O29" s="118"/>
      <c r="P29" s="118"/>
      <c r="R29" s="2"/>
      <c r="S29" s="3" t="s">
        <v>222</v>
      </c>
      <c r="T29" s="488">
        <f>+U26+U27</f>
        <v>39443.96</v>
      </c>
      <c r="U29" s="339"/>
      <c r="V29" s="319"/>
      <c r="W29" s="319"/>
      <c r="X29" s="221"/>
      <c r="Y29" s="478"/>
      <c r="Z29" s="478"/>
      <c r="AA29" s="478"/>
      <c r="AB29" s="478"/>
    </row>
    <row r="30" spans="1:32" ht="17.25" thickTop="1" thickBot="1">
      <c r="C30" s="394"/>
      <c r="D30" s="438"/>
      <c r="E30" s="366"/>
      <c r="F30" s="370"/>
      <c r="G30" s="370"/>
      <c r="H30" s="370"/>
      <c r="I30" s="370"/>
      <c r="J30" s="116"/>
      <c r="K30" s="79"/>
      <c r="L30"/>
      <c r="O30" s="219"/>
      <c r="P30" s="219"/>
      <c r="R30" s="221"/>
      <c r="S30" s="221"/>
      <c r="T30" s="221"/>
      <c r="U30" s="221"/>
      <c r="V30" s="319"/>
      <c r="W30" s="357"/>
      <c r="X30" s="221"/>
      <c r="Y30" s="478"/>
      <c r="Z30" s="478"/>
      <c r="AA30" s="478"/>
      <c r="AB30" s="478"/>
    </row>
    <row r="31" spans="1:32" ht="15.75">
      <c r="C31" s="393"/>
      <c r="D31" s="438"/>
      <c r="E31" s="366"/>
      <c r="F31" s="370"/>
      <c r="G31" s="486"/>
      <c r="H31" s="486"/>
      <c r="I31" s="486"/>
      <c r="J31" s="116"/>
      <c r="K31"/>
      <c r="L31"/>
      <c r="O31" s="219"/>
      <c r="P31" s="219"/>
      <c r="R31" s="340"/>
      <c r="S31" s="336" t="s">
        <v>223</v>
      </c>
      <c r="T31" s="341">
        <f>+U34-T32-T33+0</f>
        <v>442571.35499999998</v>
      </c>
      <c r="U31" s="342"/>
      <c r="V31" s="319"/>
      <c r="W31" s="319"/>
      <c r="X31" s="221"/>
      <c r="Y31" s="476">
        <f>+Y16</f>
        <v>493571</v>
      </c>
      <c r="Z31" s="478"/>
      <c r="AA31" s="478"/>
      <c r="AB31" s="478"/>
    </row>
    <row r="32" spans="1:32" ht="15.75">
      <c r="C32" s="393"/>
      <c r="D32" s="445"/>
      <c r="E32" s="369"/>
      <c r="F32" s="370"/>
      <c r="G32" s="370"/>
      <c r="H32" s="367"/>
      <c r="I32" s="367"/>
      <c r="J32" s="116"/>
      <c r="K32" s="79"/>
      <c r="L32"/>
      <c r="O32" s="219"/>
      <c r="P32" s="219"/>
      <c r="R32" s="337"/>
      <c r="S32" s="221" t="s">
        <v>224</v>
      </c>
      <c r="T32" s="322">
        <f>+Y14</f>
        <v>11615.684999999999</v>
      </c>
      <c r="U32" s="338"/>
      <c r="V32" s="319"/>
      <c r="W32" s="319"/>
      <c r="X32" s="221"/>
      <c r="Y32" s="477"/>
      <c r="Z32" s="478"/>
      <c r="AA32" s="478"/>
      <c r="AB32" s="478"/>
    </row>
    <row r="33" spans="3:28" ht="15.75">
      <c r="C33" s="393"/>
      <c r="D33" s="446"/>
      <c r="E33" s="371"/>
      <c r="F33" s="370"/>
      <c r="G33" s="370"/>
      <c r="H33" s="370"/>
      <c r="I33" s="372"/>
      <c r="J33" s="116"/>
      <c r="K33"/>
      <c r="L33" s="230"/>
      <c r="R33" s="337"/>
      <c r="S33" s="221" t="s">
        <v>221</v>
      </c>
      <c r="T33" s="19">
        <f>+U26</f>
        <v>39383.96</v>
      </c>
      <c r="U33" s="338"/>
      <c r="V33" s="221"/>
      <c r="W33" s="221"/>
      <c r="X33" s="221"/>
      <c r="Y33" s="476">
        <f>+U16+W16-1</f>
        <v>11614.684999999999</v>
      </c>
      <c r="Z33" s="478"/>
      <c r="AA33" s="478"/>
      <c r="AB33" s="478"/>
    </row>
    <row r="34" spans="3:28" ht="16.5" thickBot="1">
      <c r="C34" s="393"/>
      <c r="D34" s="373" t="s">
        <v>43</v>
      </c>
      <c r="E34" s="373"/>
      <c r="F34" s="370" t="s">
        <v>315</v>
      </c>
      <c r="G34" s="370"/>
      <c r="H34" s="370">
        <f>+G29+I29</f>
        <v>460704.88</v>
      </c>
      <c r="I34" s="372"/>
      <c r="J34" s="116"/>
      <c r="O34" s="120"/>
      <c r="P34" s="120"/>
      <c r="R34" s="2"/>
      <c r="S34" s="532" t="s">
        <v>225</v>
      </c>
      <c r="T34" s="3"/>
      <c r="U34" s="343">
        <f>+Y31</f>
        <v>493571</v>
      </c>
      <c r="V34" s="319"/>
      <c r="W34" s="102"/>
      <c r="X34" s="221"/>
      <c r="Y34" s="477">
        <f>+Y31-Y32-Y33</f>
        <v>481956.315</v>
      </c>
      <c r="Z34" s="478"/>
      <c r="AA34" s="478"/>
      <c r="AB34" s="478"/>
    </row>
    <row r="35" spans="3:28" ht="15.75">
      <c r="C35" s="393"/>
      <c r="D35" s="448">
        <v>10</v>
      </c>
      <c r="E35" s="374"/>
      <c r="F35" s="375">
        <f>+H29</f>
        <v>21250</v>
      </c>
      <c r="G35" s="375"/>
      <c r="H35" s="375">
        <f>+H29+H32</f>
        <v>21250</v>
      </c>
      <c r="I35" s="368"/>
      <c r="J35" s="116"/>
      <c r="O35" s="118"/>
      <c r="P35" s="118"/>
      <c r="V35" s="221"/>
      <c r="W35" s="102"/>
      <c r="X35" s="221"/>
      <c r="Y35" s="478"/>
      <c r="Z35" s="478"/>
      <c r="AA35" s="478"/>
      <c r="AB35" s="478"/>
    </row>
    <row r="36" spans="3:28" ht="16.5" thickBot="1">
      <c r="C36" s="393"/>
      <c r="D36" s="447">
        <v>2</v>
      </c>
      <c r="E36" s="373"/>
      <c r="F36" s="370">
        <f>+F29</f>
        <v>2008137</v>
      </c>
      <c r="G36" s="376">
        <v>5.0000000000000001E-3</v>
      </c>
      <c r="H36" s="370">
        <f>+F36*G36</f>
        <v>10040.684999999999</v>
      </c>
      <c r="I36" s="377">
        <v>5.0000000000000001E-3</v>
      </c>
      <c r="J36" s="116"/>
      <c r="V36" s="221"/>
      <c r="W36" s="221"/>
      <c r="X36" s="221"/>
      <c r="Y36" s="478"/>
      <c r="Z36" s="478"/>
      <c r="AA36" s="478"/>
      <c r="AB36" s="478"/>
    </row>
    <row r="37" spans="3:28" ht="16.5" hidden="1" thickBot="1">
      <c r="C37" s="393"/>
      <c r="D37" s="546">
        <v>22</v>
      </c>
      <c r="E37" s="547"/>
      <c r="F37" s="548">
        <f>+F36</f>
        <v>2008137</v>
      </c>
      <c r="G37" s="549" t="s">
        <v>119</v>
      </c>
      <c r="H37" s="548">
        <f>+F37*0%</f>
        <v>0</v>
      </c>
      <c r="I37" s="550">
        <v>0</v>
      </c>
      <c r="J37" s="116"/>
      <c r="V37" s="221"/>
      <c r="W37" s="221"/>
      <c r="X37" s="221"/>
      <c r="Y37" s="478"/>
      <c r="Z37" s="478"/>
      <c r="AA37" s="478"/>
      <c r="AB37" s="478"/>
    </row>
    <row r="38" spans="3:28" s="219" customFormat="1" ht="16.5" thickBot="1">
      <c r="C38" s="393"/>
      <c r="D38" s="449">
        <v>21</v>
      </c>
      <c r="E38" s="373"/>
      <c r="F38" s="370">
        <f>+F29</f>
        <v>2008137</v>
      </c>
      <c r="G38" s="375"/>
      <c r="H38" s="552">
        <f>21*75</f>
        <v>1575</v>
      </c>
      <c r="I38" s="553">
        <v>5.0000000000000001E-3</v>
      </c>
      <c r="J38" s="116"/>
      <c r="K38" s="102"/>
      <c r="L38" s="102"/>
      <c r="O38" s="88"/>
      <c r="P38" s="88"/>
      <c r="Y38" s="478"/>
      <c r="Z38" s="478"/>
      <c r="AA38" s="478"/>
      <c r="AB38" s="478"/>
    </row>
    <row r="39" spans="3:28" s="219" customFormat="1" ht="15.75">
      <c r="C39" s="393"/>
      <c r="D39" s="447">
        <v>22</v>
      </c>
      <c r="E39" s="373"/>
      <c r="F39" s="370"/>
      <c r="G39" s="375"/>
      <c r="H39" s="370">
        <v>0</v>
      </c>
      <c r="I39" s="377">
        <v>1E-4</v>
      </c>
      <c r="J39" s="116"/>
      <c r="K39" s="102"/>
      <c r="L39" s="102"/>
      <c r="O39" s="88"/>
      <c r="P39" s="88"/>
      <c r="Y39" s="478"/>
      <c r="Z39" s="478"/>
      <c r="AA39" s="478"/>
      <c r="AB39" s="478"/>
    </row>
    <row r="40" spans="3:28" ht="16.5" thickBot="1">
      <c r="C40" s="395"/>
      <c r="D40" s="438"/>
      <c r="E40" s="366"/>
      <c r="F40" s="370"/>
      <c r="G40" s="370"/>
      <c r="H40" s="378">
        <f>SUM(H34:H39)</f>
        <v>493570.565</v>
      </c>
      <c r="I40" s="368"/>
      <c r="J40" s="116"/>
      <c r="W40" s="219"/>
      <c r="Y40" s="478"/>
      <c r="Z40" s="478"/>
      <c r="AA40" s="478"/>
      <c r="AB40" s="478"/>
    </row>
    <row r="41" spans="3:28" ht="16.5" thickTop="1">
      <c r="C41" s="393"/>
      <c r="D41" s="438"/>
      <c r="E41" s="366"/>
      <c r="F41" s="367"/>
      <c r="G41" s="368"/>
      <c r="H41" s="368"/>
      <c r="I41" s="368"/>
      <c r="W41" s="219"/>
    </row>
    <row r="42" spans="3:28" ht="15" customHeight="1">
      <c r="D42" s="450"/>
      <c r="E42" s="53"/>
      <c r="F42" s="66"/>
      <c r="G42" s="66"/>
    </row>
    <row r="43" spans="3:28">
      <c r="D43" s="450"/>
      <c r="E43" s="53"/>
      <c r="F43" s="86"/>
      <c r="G43" s="66"/>
    </row>
    <row r="44" spans="3:28" s="221" customFormat="1">
      <c r="C44" s="37"/>
      <c r="D44" s="461"/>
      <c r="E44" s="33"/>
      <c r="F44" s="33"/>
      <c r="G44" s="33"/>
      <c r="H44" s="33"/>
      <c r="I44" s="33"/>
      <c r="J44" s="102"/>
      <c r="K44" s="33"/>
      <c r="L44" s="78"/>
      <c r="O44" s="102"/>
      <c r="P44" s="102"/>
    </row>
    <row r="45" spans="3:28" s="221" customFormat="1">
      <c r="C45" s="37"/>
      <c r="D45" s="450"/>
      <c r="E45" s="33"/>
      <c r="F45" s="33"/>
      <c r="G45" s="33"/>
      <c r="H45" s="358"/>
      <c r="I45" s="358"/>
      <c r="J45" s="101"/>
      <c r="K45" s="102"/>
      <c r="L45" s="102"/>
      <c r="O45" s="101"/>
      <c r="P45" s="101"/>
    </row>
    <row r="46" spans="3:28" s="221" customFormat="1">
      <c r="C46" s="37"/>
      <c r="D46" s="450"/>
      <c r="E46" s="358"/>
      <c r="F46" s="358"/>
      <c r="G46" s="358"/>
      <c r="H46" s="358"/>
      <c r="I46" s="358"/>
      <c r="J46" s="101"/>
      <c r="K46" s="102"/>
      <c r="L46" s="102"/>
      <c r="O46" s="101"/>
      <c r="P46" s="101"/>
    </row>
    <row r="47" spans="3:28" s="221" customFormat="1">
      <c r="C47" s="37"/>
      <c r="D47" s="450"/>
      <c r="E47" s="358"/>
      <c r="F47" s="358"/>
      <c r="G47" s="358"/>
      <c r="H47" s="82"/>
      <c r="J47" s="101"/>
      <c r="K47" s="102"/>
      <c r="L47" s="102"/>
      <c r="O47" s="101"/>
      <c r="P47" s="101"/>
    </row>
    <row r="48" spans="3:28" s="221" customFormat="1" ht="18.75">
      <c r="C48" s="37"/>
      <c r="D48" s="451"/>
      <c r="E48" s="544"/>
      <c r="F48" s="544"/>
      <c r="G48" s="544"/>
      <c r="H48" s="86"/>
      <c r="I48" s="19"/>
      <c r="J48" s="101"/>
      <c r="K48" s="102"/>
      <c r="L48" s="102"/>
      <c r="O48" s="101"/>
      <c r="P48" s="101"/>
      <c r="R48" s="599"/>
      <c r="S48" s="599"/>
      <c r="T48" s="100"/>
      <c r="U48" s="600"/>
      <c r="V48" s="600"/>
      <c r="W48" s="600"/>
      <c r="X48" s="600"/>
      <c r="Y48" s="66"/>
    </row>
    <row r="49" spans="3:25" s="221" customFormat="1" ht="15.75">
      <c r="C49" s="37"/>
      <c r="D49" s="452"/>
      <c r="E49" s="349"/>
      <c r="F49" s="66"/>
      <c r="G49" s="347"/>
      <c r="H49" s="347"/>
      <c r="J49" s="101"/>
      <c r="K49" s="102"/>
      <c r="L49" s="102"/>
      <c r="O49" s="101"/>
      <c r="P49" s="101"/>
      <c r="R49" s="66"/>
      <c r="S49" s="66"/>
      <c r="T49" s="124"/>
      <c r="U49" s="124"/>
      <c r="V49" s="124"/>
      <c r="W49" s="124"/>
      <c r="X49" s="124"/>
      <c r="Y49" s="124"/>
    </row>
    <row r="50" spans="3:25" s="221" customFormat="1" ht="15.75">
      <c r="C50" s="37"/>
      <c r="D50" s="444"/>
      <c r="E50" s="347"/>
      <c r="F50" s="66"/>
      <c r="G50" s="347"/>
      <c r="H50" s="347"/>
      <c r="J50" s="101"/>
      <c r="K50" s="102"/>
      <c r="L50" s="102"/>
      <c r="O50" s="101"/>
      <c r="P50" s="101"/>
      <c r="R50" s="66"/>
      <c r="S50" s="66"/>
      <c r="T50" s="112"/>
      <c r="U50" s="112"/>
      <c r="V50" s="112"/>
      <c r="W50" s="112"/>
      <c r="X50" s="113"/>
      <c r="Y50" s="72"/>
    </row>
    <row r="51" spans="3:25" s="221" customFormat="1" ht="15.75">
      <c r="C51" s="37"/>
      <c r="D51" s="444"/>
      <c r="E51" s="349"/>
      <c r="F51" s="66"/>
      <c r="G51" s="350"/>
      <c r="H51" s="350"/>
      <c r="J51" s="101"/>
      <c r="K51" s="102"/>
      <c r="L51" s="102"/>
      <c r="O51" s="101"/>
      <c r="P51" s="101"/>
      <c r="R51" s="66"/>
      <c r="S51" s="66"/>
      <c r="T51" s="112"/>
      <c r="U51" s="112"/>
      <c r="V51" s="112"/>
      <c r="W51" s="112"/>
      <c r="X51" s="113"/>
      <c r="Y51" s="72"/>
    </row>
    <row r="52" spans="3:25" s="221" customFormat="1" ht="15.75">
      <c r="C52" s="37"/>
      <c r="D52" s="453"/>
      <c r="E52" s="347"/>
      <c r="F52" s="66"/>
      <c r="G52" s="347"/>
      <c r="H52" s="347"/>
      <c r="J52" s="101"/>
      <c r="K52" s="102"/>
      <c r="L52" s="102"/>
      <c r="O52" s="101"/>
      <c r="P52" s="101"/>
      <c r="R52" s="66"/>
      <c r="S52" s="66"/>
      <c r="T52" s="112"/>
      <c r="U52" s="112"/>
      <c r="V52" s="112"/>
      <c r="W52" s="112"/>
      <c r="X52" s="113"/>
      <c r="Y52" s="72"/>
    </row>
    <row r="53" spans="3:25" s="221" customFormat="1" ht="15.75">
      <c r="C53" s="37"/>
      <c r="D53" s="454"/>
      <c r="E53" s="347"/>
      <c r="F53" s="66"/>
      <c r="G53" s="347"/>
      <c r="H53" s="347"/>
      <c r="I53" s="19"/>
      <c r="J53" s="101"/>
      <c r="K53" s="102"/>
      <c r="L53" s="102"/>
      <c r="O53" s="101"/>
      <c r="P53" s="101"/>
      <c r="R53" s="66"/>
      <c r="S53" s="66"/>
      <c r="T53" s="66"/>
      <c r="U53" s="66"/>
      <c r="V53" s="66"/>
      <c r="W53" s="66"/>
      <c r="X53" s="72"/>
      <c r="Y53" s="72"/>
    </row>
    <row r="54" spans="3:25" s="221" customFormat="1" ht="15.75">
      <c r="C54" s="37"/>
      <c r="D54" s="454"/>
      <c r="E54" s="347"/>
      <c r="F54" s="66"/>
      <c r="G54" s="347"/>
      <c r="H54" s="347"/>
      <c r="I54" s="19"/>
      <c r="J54" s="101"/>
      <c r="K54" s="102"/>
      <c r="L54" s="102"/>
      <c r="O54" s="101"/>
      <c r="P54" s="101"/>
      <c r="R54" s="66"/>
      <c r="S54" s="66"/>
      <c r="T54" s="66"/>
      <c r="U54" s="66"/>
      <c r="V54" s="66"/>
      <c r="W54" s="66"/>
      <c r="X54" s="66"/>
      <c r="Y54" s="66"/>
    </row>
    <row r="55" spans="3:25" s="221" customFormat="1">
      <c r="C55" s="37"/>
      <c r="D55" s="455"/>
      <c r="F55" s="66"/>
      <c r="J55" s="101"/>
      <c r="K55" s="102"/>
      <c r="L55" s="102"/>
      <c r="O55" s="101"/>
      <c r="P55" s="101"/>
      <c r="R55" s="66"/>
      <c r="S55" s="66"/>
      <c r="T55" s="66"/>
      <c r="U55" s="66"/>
      <c r="V55" s="66"/>
      <c r="W55" s="66"/>
      <c r="X55" s="66"/>
      <c r="Y55" s="66"/>
    </row>
    <row r="56" spans="3:25" s="221" customFormat="1" ht="15.75">
      <c r="C56" s="37"/>
      <c r="D56" s="456"/>
      <c r="E56" s="85"/>
      <c r="F56" s="66"/>
      <c r="G56" s="85"/>
      <c r="H56" s="85"/>
      <c r="J56" s="101"/>
      <c r="K56" s="102"/>
      <c r="L56" s="102"/>
      <c r="O56" s="101"/>
      <c r="P56" s="101"/>
      <c r="R56" s="599"/>
      <c r="S56" s="599"/>
      <c r="T56" s="599"/>
      <c r="U56" s="599"/>
      <c r="V56" s="599"/>
      <c r="W56" s="599"/>
      <c r="X56" s="599"/>
      <c r="Y56" s="66"/>
    </row>
    <row r="57" spans="3:25" s="221" customFormat="1">
      <c r="C57" s="37"/>
      <c r="D57" s="450"/>
      <c r="E57" s="53"/>
      <c r="F57" s="66"/>
      <c r="G57" s="66"/>
      <c r="H57" s="66"/>
      <c r="J57" s="101"/>
      <c r="K57" s="102"/>
      <c r="L57" s="102"/>
      <c r="O57" s="101"/>
      <c r="P57" s="101"/>
    </row>
    <row r="58" spans="3:25" s="221" customFormat="1">
      <c r="C58" s="37"/>
      <c r="D58" s="450"/>
      <c r="E58" s="53"/>
      <c r="F58" s="66"/>
      <c r="G58" s="66"/>
      <c r="H58" s="66"/>
      <c r="J58" s="101"/>
      <c r="K58" s="102"/>
      <c r="L58" s="102"/>
      <c r="O58" s="101"/>
      <c r="P58" s="101"/>
    </row>
    <row r="59" spans="3:25" s="221" customFormat="1">
      <c r="C59" s="37"/>
      <c r="D59" s="450"/>
      <c r="E59" s="53"/>
      <c r="F59" s="66"/>
      <c r="G59" s="66"/>
      <c r="H59" s="66"/>
      <c r="J59" s="101"/>
      <c r="K59" s="102"/>
      <c r="L59" s="102"/>
      <c r="O59" s="101"/>
      <c r="P59" s="101"/>
    </row>
    <row r="60" spans="3:25" s="221" customFormat="1">
      <c r="C60" s="37"/>
      <c r="D60" s="450"/>
      <c r="E60" s="53"/>
      <c r="F60" s="86"/>
      <c r="G60" s="66"/>
      <c r="H60" s="66"/>
      <c r="J60" s="101"/>
      <c r="K60" s="102"/>
      <c r="L60" s="102"/>
      <c r="O60" s="101"/>
      <c r="P60" s="101"/>
    </row>
    <row r="61" spans="3:25" s="221" customFormat="1">
      <c r="C61" s="37"/>
      <c r="D61" s="450"/>
      <c r="E61" s="53"/>
      <c r="F61" s="66"/>
      <c r="G61" s="66"/>
      <c r="H61" s="66"/>
      <c r="J61" s="101"/>
      <c r="K61" s="102"/>
      <c r="L61" s="102"/>
      <c r="O61" s="101"/>
      <c r="P61" s="101"/>
    </row>
    <row r="62" spans="3:25" s="221" customFormat="1">
      <c r="C62" s="37"/>
      <c r="D62" s="450"/>
      <c r="E62" s="53"/>
      <c r="F62" s="66"/>
      <c r="G62" s="66"/>
      <c r="H62" s="66"/>
      <c r="J62" s="101"/>
      <c r="K62" s="102"/>
      <c r="L62" s="102"/>
      <c r="O62" s="101"/>
      <c r="P62" s="101"/>
    </row>
    <row r="63" spans="3:25">
      <c r="E63" s="49"/>
      <c r="G63" s="15"/>
      <c r="H63" s="15"/>
    </row>
    <row r="64" spans="3:25">
      <c r="E64" s="49"/>
      <c r="G64" s="15"/>
      <c r="H64" s="15"/>
    </row>
    <row r="65" spans="3:16">
      <c r="E65" s="49"/>
      <c r="G65" s="15"/>
      <c r="H65" s="15"/>
    </row>
    <row r="66" spans="3:16">
      <c r="E66" s="49"/>
      <c r="G66" s="15"/>
      <c r="H66" s="15"/>
    </row>
    <row r="68" spans="3:16" s="15" customFormat="1">
      <c r="C68" s="396"/>
      <c r="D68" s="458"/>
      <c r="E68" s="94"/>
      <c r="F68" s="81"/>
      <c r="G68" s="81"/>
      <c r="H68" s="81"/>
      <c r="I68" s="81"/>
      <c r="J68" s="118"/>
      <c r="K68" s="102"/>
      <c r="L68" s="102"/>
      <c r="O68" s="118"/>
      <c r="P68" s="118"/>
    </row>
    <row r="69" spans="3:16" s="15" customFormat="1">
      <c r="C69" s="396"/>
      <c r="D69" s="458"/>
      <c r="E69" s="94"/>
      <c r="F69" s="81"/>
      <c r="G69" s="81"/>
      <c r="H69" s="81"/>
      <c r="I69" s="81"/>
      <c r="J69" s="118"/>
      <c r="K69" s="102"/>
      <c r="L69" s="102"/>
      <c r="O69" s="118"/>
      <c r="P69" s="118"/>
    </row>
    <row r="70" spans="3:16" s="15" customFormat="1">
      <c r="C70" s="396"/>
      <c r="D70" s="459"/>
      <c r="E70" s="33"/>
      <c r="F70" s="81"/>
      <c r="G70" s="81"/>
      <c r="H70" s="81"/>
      <c r="I70" s="81"/>
      <c r="J70" s="118"/>
      <c r="K70" s="102"/>
      <c r="L70" s="102"/>
      <c r="O70" s="118"/>
      <c r="P70" s="118"/>
    </row>
    <row r="71" spans="3:16" s="15" customFormat="1">
      <c r="C71" s="396"/>
      <c r="D71" s="460"/>
      <c r="E71" s="32"/>
      <c r="F71" s="66"/>
      <c r="J71" s="118"/>
      <c r="K71" s="102"/>
      <c r="L71" s="102"/>
      <c r="O71" s="118"/>
      <c r="P71" s="118"/>
    </row>
    <row r="72" spans="3:16" s="15" customFormat="1">
      <c r="C72" s="396"/>
      <c r="D72" s="461"/>
      <c r="E72" s="53"/>
      <c r="J72" s="118"/>
      <c r="K72" s="102"/>
      <c r="L72" s="102"/>
      <c r="O72" s="118"/>
      <c r="P72" s="118"/>
    </row>
    <row r="73" spans="3:16" s="15" customFormat="1">
      <c r="C73" s="396"/>
      <c r="D73" s="461"/>
      <c r="E73" s="53"/>
      <c r="G73" s="81"/>
      <c r="J73" s="118"/>
      <c r="K73" s="102"/>
      <c r="L73" s="102"/>
      <c r="O73" s="118"/>
      <c r="P73" s="118"/>
    </row>
    <row r="74" spans="3:16" s="15" customFormat="1">
      <c r="C74" s="396"/>
      <c r="D74" s="462"/>
      <c r="E74" s="49"/>
      <c r="J74" s="118"/>
      <c r="K74" s="102"/>
      <c r="L74" s="102"/>
      <c r="O74" s="118"/>
      <c r="P74" s="118"/>
    </row>
  </sheetData>
  <mergeCells count="4">
    <mergeCell ref="R56:X56"/>
    <mergeCell ref="R48:S48"/>
    <mergeCell ref="U48:X48"/>
    <mergeCell ref="E1:F1"/>
  </mergeCells>
  <pageMargins left="0.27559055118110237" right="0.19685039370078741" top="0.43307086614173229" bottom="0.31496062992125984" header="0.19685039370078741" footer="0.31496062992125984"/>
  <pageSetup paperSize="9" scale="3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0"/>
  <sheetViews>
    <sheetView topLeftCell="A29" zoomScale="70" zoomScaleNormal="70" workbookViewId="0">
      <selection activeCell="E55" sqref="E55"/>
    </sheetView>
  </sheetViews>
  <sheetFormatPr defaultRowHeight="15"/>
  <cols>
    <col min="1" max="1" width="9.140625" style="219"/>
    <col min="2" max="2" width="6.7109375" style="219" customWidth="1"/>
    <col min="3" max="3" width="18.28515625" style="219" customWidth="1"/>
    <col min="4" max="4" width="23.85546875" style="219" customWidth="1"/>
    <col min="5" max="5" width="21.7109375" style="397" customWidth="1"/>
    <col min="6" max="6" width="19" style="398" customWidth="1"/>
    <col min="7" max="7" width="14.140625" style="219" customWidth="1"/>
    <col min="8" max="8" width="10.7109375" style="219" customWidth="1"/>
    <col min="9" max="9" width="13" style="219" customWidth="1"/>
    <col min="10" max="10" width="16.5703125" style="219" customWidth="1"/>
    <col min="11" max="11" width="16.42578125" style="219" customWidth="1"/>
    <col min="12" max="12" width="15.28515625" style="219" customWidth="1"/>
    <col min="13" max="13" width="12.7109375" style="219" customWidth="1"/>
    <col min="14" max="16384" width="9.140625" style="219"/>
  </cols>
  <sheetData>
    <row r="1" spans="2:14">
      <c r="I1" s="66"/>
      <c r="J1" s="66"/>
      <c r="K1" s="66"/>
      <c r="L1" s="112"/>
      <c r="M1" s="102"/>
      <c r="N1" s="66"/>
    </row>
    <row r="2" spans="2:14">
      <c r="B2" s="399" t="s">
        <v>306</v>
      </c>
      <c r="C2" s="586"/>
      <c r="D2" s="586"/>
      <c r="I2" s="401"/>
      <c r="J2" s="402"/>
      <c r="K2" s="402"/>
      <c r="L2" s="112"/>
      <c r="M2" s="102"/>
      <c r="N2" s="66"/>
    </row>
    <row r="3" spans="2:14">
      <c r="B3" s="399" t="s">
        <v>240</v>
      </c>
      <c r="C3" s="400"/>
      <c r="D3" s="400"/>
      <c r="I3" s="401"/>
      <c r="J3" s="402"/>
      <c r="K3" s="402"/>
      <c r="L3" s="112"/>
      <c r="M3" s="102"/>
      <c r="N3" s="66"/>
    </row>
    <row r="4" spans="2:14">
      <c r="B4" s="400" t="s">
        <v>241</v>
      </c>
      <c r="C4" s="400"/>
      <c r="D4" s="400"/>
      <c r="I4" s="402"/>
      <c r="J4" s="402"/>
      <c r="K4" s="402"/>
      <c r="L4" s="112"/>
      <c r="M4" s="102"/>
      <c r="N4" s="66"/>
    </row>
    <row r="5" spans="2:14">
      <c r="B5" s="400" t="s">
        <v>242</v>
      </c>
      <c r="C5" s="400"/>
      <c r="D5" s="400"/>
      <c r="I5" s="402"/>
      <c r="J5" s="402"/>
      <c r="K5" s="402"/>
      <c r="L5" s="112"/>
      <c r="M5" s="102"/>
      <c r="N5" s="66"/>
    </row>
    <row r="6" spans="2:14">
      <c r="B6" s="400" t="s">
        <v>243</v>
      </c>
      <c r="C6" s="400"/>
      <c r="D6" s="400"/>
      <c r="I6" s="402"/>
      <c r="J6" s="402"/>
      <c r="K6" s="402"/>
      <c r="L6" s="112"/>
      <c r="M6" s="102"/>
      <c r="N6" s="66"/>
    </row>
    <row r="7" spans="2:14">
      <c r="B7" s="400" t="s">
        <v>317</v>
      </c>
      <c r="C7" s="400"/>
      <c r="D7" s="400"/>
      <c r="I7" s="402"/>
      <c r="J7" s="402"/>
      <c r="K7" s="402"/>
      <c r="L7" s="112"/>
      <c r="M7" s="102"/>
      <c r="N7" s="66"/>
    </row>
    <row r="8" spans="2:14">
      <c r="B8" s="400" t="s">
        <v>244</v>
      </c>
      <c r="C8" s="400"/>
      <c r="D8" s="400"/>
      <c r="I8" s="402"/>
      <c r="J8" s="402"/>
      <c r="K8" s="402"/>
      <c r="L8" s="112"/>
      <c r="M8" s="102"/>
      <c r="N8" s="66"/>
    </row>
    <row r="9" spans="2:14">
      <c r="B9" s="400"/>
      <c r="C9" s="400"/>
      <c r="D9" s="400"/>
      <c r="I9" s="66"/>
      <c r="J9" s="66"/>
      <c r="K9" s="66"/>
      <c r="L9" s="66"/>
      <c r="M9" s="66"/>
      <c r="N9" s="66"/>
    </row>
    <row r="10" spans="2:14">
      <c r="B10" s="400"/>
      <c r="C10" s="403">
        <v>45352</v>
      </c>
      <c r="D10" s="400"/>
      <c r="G10" s="246"/>
      <c r="I10" s="402"/>
      <c r="J10" s="404"/>
      <c r="K10" s="402"/>
      <c r="L10" s="112"/>
      <c r="M10" s="66"/>
      <c r="N10" s="66"/>
    </row>
    <row r="11" spans="2:14">
      <c r="G11" s="246"/>
      <c r="I11" s="66"/>
      <c r="J11" s="66"/>
      <c r="K11" s="66"/>
      <c r="L11" s="112"/>
      <c r="M11" s="66"/>
      <c r="N11" s="66"/>
    </row>
    <row r="12" spans="2:14">
      <c r="B12" s="405" t="s">
        <v>245</v>
      </c>
      <c r="C12" s="406" t="s">
        <v>246</v>
      </c>
      <c r="D12" s="407" t="s">
        <v>15</v>
      </c>
      <c r="E12" s="408" t="s">
        <v>19</v>
      </c>
      <c r="F12" s="409"/>
      <c r="G12" s="246"/>
      <c r="H12" s="221"/>
      <c r="I12" s="111"/>
      <c r="J12" s="111"/>
      <c r="K12" s="111"/>
      <c r="L12" s="111"/>
      <c r="M12" s="66"/>
      <c r="N12" s="66"/>
    </row>
    <row r="13" spans="2:14">
      <c r="B13" s="410">
        <v>1</v>
      </c>
      <c r="C13" s="18">
        <v>10012644143</v>
      </c>
      <c r="D13" s="220" t="s">
        <v>1</v>
      </c>
      <c r="E13" s="412">
        <f>+'MAR 24'!Y7</f>
        <v>137880.88</v>
      </c>
      <c r="G13" s="19"/>
      <c r="H13" s="398"/>
      <c r="I13" s="221"/>
      <c r="J13" s="37"/>
      <c r="K13" s="111"/>
      <c r="L13" s="411"/>
      <c r="M13" s="66"/>
      <c r="N13" s="66"/>
    </row>
    <row r="14" spans="2:14">
      <c r="B14" s="410">
        <f>+B13+1</f>
        <v>2</v>
      </c>
      <c r="C14" s="18">
        <v>10012644110</v>
      </c>
      <c r="D14" s="220" t="s">
        <v>39</v>
      </c>
      <c r="E14" s="412">
        <f>+'MAR 24'!Y9</f>
        <v>126348.88</v>
      </c>
      <c r="G14" s="19"/>
      <c r="H14" s="398"/>
      <c r="I14" s="221"/>
      <c r="J14" s="111"/>
      <c r="K14" s="111"/>
      <c r="L14" s="411"/>
      <c r="M14" s="66"/>
      <c r="N14" s="66"/>
    </row>
    <row r="15" spans="2:14" ht="18.75">
      <c r="B15" s="410">
        <v>3</v>
      </c>
      <c r="C15" s="18">
        <v>20004235521</v>
      </c>
      <c r="D15" s="220" t="s">
        <v>247</v>
      </c>
      <c r="E15" s="412">
        <f>+'MAR 24'!Y11</f>
        <v>104753.52</v>
      </c>
      <c r="G15" s="19"/>
      <c r="H15" s="137"/>
      <c r="I15" s="221"/>
      <c r="J15" s="111"/>
      <c r="K15" s="111"/>
      <c r="L15" s="411"/>
      <c r="M15" s="66"/>
      <c r="N15" s="66"/>
    </row>
    <row r="16" spans="2:14" ht="18.75">
      <c r="B16" s="410">
        <f t="shared" ref="B16:B23" si="0">+B15+1</f>
        <v>4</v>
      </c>
      <c r="C16" s="18">
        <v>10012667228</v>
      </c>
      <c r="D16" s="220" t="s">
        <v>5</v>
      </c>
      <c r="E16" s="412">
        <f>+'MAR 24'!Y13</f>
        <v>131659.12</v>
      </c>
      <c r="G16" s="19"/>
      <c r="H16" s="137"/>
      <c r="I16" s="221"/>
      <c r="J16" s="111"/>
      <c r="K16" s="19"/>
      <c r="L16" s="137"/>
      <c r="M16" s="398"/>
      <c r="N16" s="66"/>
    </row>
    <row r="17" spans="2:14" ht="18.75">
      <c r="B17" s="410">
        <f t="shared" si="0"/>
        <v>5</v>
      </c>
      <c r="C17" s="18">
        <v>30001550494</v>
      </c>
      <c r="D17" s="220" t="s">
        <v>2</v>
      </c>
      <c r="E17" s="412">
        <f>+'MAR 24'!Y17-0</f>
        <v>103980.92</v>
      </c>
      <c r="J17" s="111"/>
      <c r="K17" s="19"/>
      <c r="L17" s="528"/>
      <c r="M17" s="398"/>
      <c r="N17" s="66"/>
    </row>
    <row r="18" spans="2:14">
      <c r="B18" s="410">
        <f t="shared" si="0"/>
        <v>6</v>
      </c>
      <c r="C18" s="18">
        <v>20004235713</v>
      </c>
      <c r="D18" s="220" t="s">
        <v>3</v>
      </c>
      <c r="E18" s="412">
        <f>+'MAR 24'!Y18-0</f>
        <v>95501.24</v>
      </c>
      <c r="J18" s="66"/>
      <c r="K18" s="66"/>
      <c r="L18" s="411"/>
      <c r="M18" s="66"/>
      <c r="N18" s="66"/>
    </row>
    <row r="19" spans="2:14" ht="18.75">
      <c r="B19" s="410">
        <f t="shared" si="0"/>
        <v>7</v>
      </c>
      <c r="C19" s="18">
        <v>20010323317</v>
      </c>
      <c r="D19" s="220" t="s">
        <v>21</v>
      </c>
      <c r="E19" s="412">
        <f>+'MAR 24'!Y19</f>
        <v>97465.16</v>
      </c>
      <c r="G19" s="19"/>
      <c r="H19" s="137"/>
      <c r="I19" s="221"/>
      <c r="J19" s="66"/>
      <c r="K19" s="66"/>
      <c r="L19" s="66"/>
      <c r="M19" s="66"/>
      <c r="N19" s="66"/>
    </row>
    <row r="20" spans="2:14" ht="18.75">
      <c r="B20" s="410">
        <f t="shared" si="0"/>
        <v>8</v>
      </c>
      <c r="C20" s="18">
        <v>10012667079</v>
      </c>
      <c r="D20" s="220" t="s">
        <v>25</v>
      </c>
      <c r="E20" s="412">
        <f>+'MAR 24'!Y21</f>
        <v>58774.16</v>
      </c>
      <c r="F20" s="560"/>
      <c r="G20" s="19"/>
      <c r="H20" s="137"/>
      <c r="I20" s="221"/>
      <c r="J20" s="66"/>
      <c r="K20" s="66"/>
      <c r="L20" s="66"/>
      <c r="M20" s="66"/>
      <c r="N20" s="66"/>
    </row>
    <row r="21" spans="2:14" ht="18.75">
      <c r="B21" s="410">
        <f t="shared" si="0"/>
        <v>9</v>
      </c>
      <c r="C21" s="20">
        <v>20023356509</v>
      </c>
      <c r="D21" s="220" t="s">
        <v>23</v>
      </c>
      <c r="E21" s="412">
        <f>+'MAR 24'!Y22</f>
        <v>88164.800000000003</v>
      </c>
      <c r="G21" s="176"/>
      <c r="H21" s="137"/>
      <c r="I21" s="85"/>
      <c r="J21" s="66"/>
      <c r="K21" s="66"/>
      <c r="L21" s="66"/>
      <c r="M21" s="66"/>
      <c r="N21" s="66"/>
    </row>
    <row r="22" spans="2:14" ht="18.75">
      <c r="B22" s="410">
        <f t="shared" si="0"/>
        <v>10</v>
      </c>
      <c r="C22" s="18">
        <v>10012667159</v>
      </c>
      <c r="D22" s="220" t="s">
        <v>115</v>
      </c>
      <c r="E22" s="412">
        <f>+'MAR 24'!Y25</f>
        <v>92164.800000000003</v>
      </c>
      <c r="G22" s="246"/>
      <c r="H22" s="137"/>
      <c r="I22" s="221"/>
    </row>
    <row r="23" spans="2:14" ht="18.75">
      <c r="B23" s="410">
        <f t="shared" si="0"/>
        <v>11</v>
      </c>
      <c r="C23" s="18">
        <v>10012667182</v>
      </c>
      <c r="D23" s="220" t="s">
        <v>22</v>
      </c>
      <c r="E23" s="412">
        <f>+'MAR 24'!Y27-1</f>
        <v>80915.92</v>
      </c>
      <c r="G23" s="246">
        <f>137881+126349+104754+131659+103981+95501+97465+58774+88165+92165+80917+64966+51620+63628+48794+21890+52617+52117+50620+51620+15290+15290</f>
        <v>1606063</v>
      </c>
      <c r="H23" s="528"/>
      <c r="I23" s="221"/>
    </row>
    <row r="24" spans="2:14" ht="15" hidden="1" customHeight="1">
      <c r="B24" s="410"/>
      <c r="C24" s="18"/>
      <c r="D24" s="220"/>
      <c r="E24" s="413"/>
      <c r="G24" s="246"/>
      <c r="H24" s="528"/>
      <c r="I24" s="66"/>
    </row>
    <row r="25" spans="2:14" ht="18.75">
      <c r="B25" s="410">
        <v>12</v>
      </c>
      <c r="C25" s="20">
        <v>20064151220</v>
      </c>
      <c r="D25" s="20" t="s">
        <v>248</v>
      </c>
      <c r="E25" s="413">
        <f>+'MAR 24'!Y28</f>
        <v>64966.2</v>
      </c>
      <c r="F25" s="414"/>
      <c r="G25" s="246"/>
      <c r="H25" s="137"/>
      <c r="I25" s="66"/>
    </row>
    <row r="26" spans="2:14" ht="18.75">
      <c r="B26" s="410">
        <f t="shared" ref="B26:B37" si="1">+B25+1</f>
        <v>13</v>
      </c>
      <c r="C26" s="18">
        <v>20164911858</v>
      </c>
      <c r="D26" s="18" t="s">
        <v>249</v>
      </c>
      <c r="E26" s="415">
        <f>+'MAR 24'!Y35</f>
        <v>51620.480000000003</v>
      </c>
      <c r="G26" s="246"/>
      <c r="H26" s="137"/>
      <c r="I26" s="416"/>
    </row>
    <row r="27" spans="2:14" ht="18.75" hidden="1">
      <c r="B27" s="410"/>
      <c r="C27" s="18"/>
      <c r="D27" s="18"/>
      <c r="E27" s="415"/>
      <c r="G27" s="246"/>
      <c r="H27" s="137"/>
      <c r="I27" s="66"/>
    </row>
    <row r="28" spans="2:14" ht="18.75" hidden="1">
      <c r="B28" s="410"/>
      <c r="C28" s="18"/>
      <c r="D28" s="18"/>
      <c r="E28" s="415"/>
      <c r="G28" s="246"/>
      <c r="H28" s="137"/>
      <c r="I28" s="66"/>
    </row>
    <row r="29" spans="2:14" ht="18.75">
      <c r="B29" s="410">
        <v>14</v>
      </c>
      <c r="C29" s="361" t="s">
        <v>231</v>
      </c>
      <c r="D29" s="16" t="s">
        <v>229</v>
      </c>
      <c r="E29" s="415">
        <f>+'MAR 24'!Y36</f>
        <v>63627.520000000004</v>
      </c>
      <c r="G29" s="246"/>
      <c r="H29" s="137"/>
      <c r="I29" s="66"/>
      <c r="L29" s="102"/>
    </row>
    <row r="30" spans="2:14" ht="18.75">
      <c r="B30" s="410">
        <f t="shared" si="1"/>
        <v>15</v>
      </c>
      <c r="C30" s="20">
        <v>30206051936</v>
      </c>
      <c r="D30" s="16" t="s">
        <v>230</v>
      </c>
      <c r="E30" s="415">
        <f>+'MAR 24'!Y37</f>
        <v>48793.919999999998</v>
      </c>
      <c r="G30" s="246"/>
      <c r="H30" s="137"/>
      <c r="I30" s="66"/>
      <c r="L30" s="102"/>
    </row>
    <row r="31" spans="2:14" ht="18.75" hidden="1">
      <c r="B31" s="410"/>
      <c r="C31" s="20"/>
      <c r="D31" s="16"/>
      <c r="E31" s="415"/>
      <c r="G31" s="246"/>
      <c r="H31" s="269"/>
      <c r="I31" s="66"/>
      <c r="L31" s="102"/>
    </row>
    <row r="32" spans="2:14">
      <c r="B32" s="410">
        <v>16</v>
      </c>
      <c r="C32" s="20">
        <v>37127263850</v>
      </c>
      <c r="D32" s="16" t="str">
        <f>+[1]aug!B41</f>
        <v xml:space="preserve">SANDEEP  KHAPRA </v>
      </c>
      <c r="E32" s="415">
        <f>+'MAR 24'!Y40</f>
        <v>21890</v>
      </c>
      <c r="G32" s="246"/>
      <c r="I32" s="66"/>
      <c r="L32" s="102"/>
    </row>
    <row r="33" spans="2:17" ht="18.75" hidden="1">
      <c r="B33" s="410"/>
      <c r="C33" s="417"/>
      <c r="D33" s="418"/>
      <c r="E33" s="415"/>
      <c r="F33" s="219"/>
      <c r="G33" s="19"/>
      <c r="H33" s="528"/>
      <c r="I33" s="111"/>
      <c r="K33" s="419"/>
      <c r="L33" s="102"/>
    </row>
    <row r="34" spans="2:17" ht="18.75">
      <c r="B34" s="410">
        <v>17</v>
      </c>
      <c r="C34" s="20">
        <v>38115197723</v>
      </c>
      <c r="D34" s="16" t="s">
        <v>126</v>
      </c>
      <c r="E34" s="415">
        <f>+'MAR 24'!Y31</f>
        <v>52617.279999999999</v>
      </c>
      <c r="G34" s="19"/>
      <c r="H34" s="137"/>
      <c r="I34" s="66"/>
    </row>
    <row r="35" spans="2:17" ht="18.75">
      <c r="B35" s="410">
        <v>18</v>
      </c>
      <c r="C35" s="420">
        <v>38353248280</v>
      </c>
      <c r="D35" s="421" t="s">
        <v>127</v>
      </c>
      <c r="E35" s="422">
        <f>+'MAR 24'!Y30</f>
        <v>52117.279999999999</v>
      </c>
      <c r="G35" s="19"/>
      <c r="H35" s="137"/>
      <c r="I35" s="66"/>
      <c r="L35" s="102"/>
    </row>
    <row r="36" spans="2:17" ht="31.5" customHeight="1">
      <c r="B36" s="410">
        <v>19</v>
      </c>
      <c r="C36" s="420">
        <v>34910433052</v>
      </c>
      <c r="D36" s="481" t="s">
        <v>269</v>
      </c>
      <c r="E36" s="422">
        <f>+'MAR 24'!Y32</f>
        <v>50620.480000000003</v>
      </c>
      <c r="F36" s="533"/>
      <c r="G36" s="538"/>
      <c r="H36" s="398"/>
      <c r="I36" s="66"/>
      <c r="L36" s="102"/>
      <c r="M36" s="423"/>
    </row>
    <row r="37" spans="2:17" ht="17.25">
      <c r="B37" s="410">
        <f t="shared" si="1"/>
        <v>20</v>
      </c>
      <c r="C37" s="420">
        <v>37094154628</v>
      </c>
      <c r="D37" s="421" t="s">
        <v>141</v>
      </c>
      <c r="E37" s="422">
        <f>+'MAR 24'!Y33</f>
        <v>51620.480000000003</v>
      </c>
      <c r="F37" s="533"/>
      <c r="G37" s="538"/>
      <c r="H37" s="398"/>
      <c r="I37" s="66"/>
      <c r="L37" s="102"/>
      <c r="M37" s="423"/>
    </row>
    <row r="38" spans="2:17" ht="18.75">
      <c r="B38" s="410">
        <v>21</v>
      </c>
      <c r="C38" s="420">
        <v>65273794532</v>
      </c>
      <c r="D38" s="595" t="s">
        <v>313</v>
      </c>
      <c r="E38" s="422">
        <f>+'MAR 24'!Y41</f>
        <v>15290</v>
      </c>
      <c r="F38" s="533"/>
      <c r="G38" s="538"/>
      <c r="H38" s="398"/>
      <c r="I38" s="66"/>
      <c r="L38" s="102"/>
      <c r="M38" s="423"/>
    </row>
    <row r="39" spans="2:17" ht="18.75">
      <c r="B39" s="410">
        <v>22</v>
      </c>
      <c r="C39" s="420">
        <v>40496516146</v>
      </c>
      <c r="D39" s="595" t="s">
        <v>314</v>
      </c>
      <c r="E39" s="422">
        <f>+'MAR 24'!Y42</f>
        <v>15290</v>
      </c>
      <c r="F39" s="533"/>
      <c r="G39" s="538"/>
      <c r="H39" s="398"/>
      <c r="I39" s="66"/>
      <c r="L39" s="102"/>
      <c r="M39" s="423"/>
    </row>
    <row r="40" spans="2:17" ht="15.75" thickBot="1">
      <c r="B40" s="221"/>
      <c r="C40" s="37"/>
      <c r="D40" s="112" t="s">
        <v>250</v>
      </c>
      <c r="E40" s="424">
        <f>SUM(E13:E39)</f>
        <v>1606063.04</v>
      </c>
      <c r="F40" s="534">
        <v>1522981</v>
      </c>
      <c r="G40" s="539"/>
      <c r="H40" s="221"/>
      <c r="I40" s="221"/>
      <c r="M40" s="66"/>
    </row>
    <row r="41" spans="2:17" ht="15.75" thickTop="1">
      <c r="E41" s="567"/>
      <c r="F41" s="533"/>
      <c r="G41" s="540"/>
      <c r="H41" s="221"/>
      <c r="I41" s="221"/>
    </row>
    <row r="42" spans="2:17">
      <c r="F42" s="533"/>
      <c r="G42" s="541"/>
      <c r="H42" s="221"/>
      <c r="I42" s="221"/>
    </row>
    <row r="43" spans="2:17">
      <c r="B43" s="66"/>
      <c r="C43" s="66"/>
      <c r="E43" s="112"/>
      <c r="F43" s="535"/>
      <c r="G43" s="536"/>
      <c r="H43" s="221"/>
      <c r="I43" s="221"/>
    </row>
    <row r="44" spans="2:17" ht="17.25">
      <c r="B44" s="66"/>
      <c r="C44" s="66"/>
      <c r="E44" s="426" t="s">
        <v>251</v>
      </c>
      <c r="F44" s="425"/>
      <c r="H44" s="221"/>
      <c r="I44" s="221"/>
      <c r="L44" s="423"/>
    </row>
    <row r="45" spans="2:17" ht="17.25">
      <c r="E45" s="426" t="s">
        <v>252</v>
      </c>
      <c r="L45" s="423"/>
    </row>
    <row r="46" spans="2:17">
      <c r="B46" s="66"/>
      <c r="C46" s="66"/>
      <c r="D46" s="66"/>
      <c r="E46" s="113"/>
      <c r="F46" s="425"/>
      <c r="G46" s="66"/>
      <c r="H46" s="66"/>
      <c r="L46" s="66"/>
      <c r="M46" s="66"/>
      <c r="N46" s="427"/>
      <c r="O46" s="66"/>
      <c r="P46" s="66"/>
      <c r="Q46" s="66"/>
    </row>
    <row r="47" spans="2:17">
      <c r="B47" s="66"/>
      <c r="C47" s="66"/>
      <c r="D47" s="66"/>
      <c r="E47" s="112"/>
      <c r="F47" s="425"/>
      <c r="G47" s="66"/>
      <c r="H47" s="66"/>
      <c r="L47" s="66"/>
      <c r="M47" s="66"/>
      <c r="N47" s="66"/>
      <c r="O47" s="66"/>
      <c r="P47" s="66"/>
      <c r="Q47" s="66"/>
    </row>
    <row r="48" spans="2:17">
      <c r="B48" s="66"/>
      <c r="C48" s="66"/>
      <c r="D48" s="66"/>
      <c r="E48" s="112"/>
      <c r="F48" s="425"/>
      <c r="G48" s="66"/>
      <c r="H48" s="66"/>
      <c r="L48" s="66"/>
      <c r="M48" s="66"/>
      <c r="N48" s="66"/>
      <c r="O48" s="66"/>
      <c r="P48" s="66"/>
      <c r="Q48" s="66"/>
    </row>
    <row r="49" spans="1:17">
      <c r="B49" s="66"/>
      <c r="C49" s="66"/>
      <c r="D49" s="66"/>
      <c r="E49" s="112"/>
      <c r="F49" s="425"/>
      <c r="G49" s="66"/>
      <c r="H49" s="66"/>
      <c r="L49" s="66"/>
      <c r="M49" s="66"/>
      <c r="N49" s="66"/>
      <c r="O49" s="66"/>
      <c r="P49" s="66"/>
      <c r="Q49" s="66"/>
    </row>
    <row r="50" spans="1:17">
      <c r="B50" s="66"/>
      <c r="C50" s="66"/>
      <c r="D50" s="66"/>
      <c r="E50" s="112"/>
      <c r="F50" s="425"/>
      <c r="G50" s="66"/>
      <c r="H50" s="66"/>
      <c r="L50" s="66"/>
      <c r="M50" s="66"/>
      <c r="N50" s="66"/>
      <c r="O50" s="66"/>
      <c r="P50" s="66"/>
      <c r="Q50" s="66"/>
    </row>
    <row r="51" spans="1:17" ht="15.75">
      <c r="B51" s="66"/>
      <c r="C51" s="66"/>
      <c r="D51" s="66"/>
      <c r="E51" s="112"/>
      <c r="F51" s="425"/>
      <c r="G51" s="66"/>
      <c r="H51" s="66"/>
      <c r="J51" s="124"/>
      <c r="K51" s="124"/>
      <c r="L51" s="124"/>
      <c r="M51" s="124"/>
      <c r="N51" s="124"/>
      <c r="O51" s="124"/>
      <c r="P51" s="124"/>
      <c r="Q51" s="124"/>
    </row>
    <row r="52" spans="1:17">
      <c r="A52" s="221"/>
      <c r="B52" s="401"/>
      <c r="C52" s="402"/>
      <c r="D52" s="402"/>
      <c r="E52" s="112"/>
      <c r="F52" s="425"/>
      <c r="G52" s="66"/>
      <c r="H52" s="66"/>
      <c r="J52" s="112"/>
      <c r="K52" s="112"/>
      <c r="L52" s="112"/>
      <c r="M52" s="112"/>
      <c r="N52" s="113"/>
      <c r="O52" s="72"/>
      <c r="P52" s="72"/>
      <c r="Q52" s="66"/>
    </row>
    <row r="53" spans="1:17">
      <c r="A53" s="221"/>
      <c r="B53" s="401"/>
      <c r="C53" s="402"/>
      <c r="D53" s="402"/>
      <c r="E53" s="112"/>
      <c r="F53" s="425"/>
      <c r="G53" s="66"/>
      <c r="H53" s="66"/>
      <c r="J53" s="112"/>
      <c r="K53" s="112"/>
      <c r="L53" s="112"/>
      <c r="M53" s="112"/>
      <c r="N53" s="113"/>
      <c r="O53" s="72"/>
      <c r="P53" s="72"/>
      <c r="Q53" s="66"/>
    </row>
    <row r="54" spans="1:17">
      <c r="A54" s="221"/>
      <c r="B54" s="402"/>
      <c r="C54" s="402"/>
      <c r="D54" s="402"/>
      <c r="E54" s="112"/>
      <c r="F54" s="425"/>
      <c r="G54" s="66"/>
      <c r="H54" s="66"/>
      <c r="J54" s="112"/>
      <c r="K54" s="112"/>
      <c r="L54" s="112"/>
      <c r="M54" s="112"/>
      <c r="N54" s="113"/>
      <c r="O54" s="72"/>
      <c r="P54" s="72"/>
      <c r="Q54" s="66"/>
    </row>
    <row r="55" spans="1:17">
      <c r="A55" s="221"/>
      <c r="B55" s="402"/>
      <c r="C55" s="402"/>
      <c r="D55" s="402"/>
      <c r="E55" s="112"/>
      <c r="F55" s="425"/>
      <c r="G55" s="66"/>
      <c r="H55" s="66"/>
      <c r="J55" s="112"/>
      <c r="K55" s="112"/>
      <c r="L55" s="112"/>
      <c r="M55" s="112"/>
      <c r="N55" s="113"/>
      <c r="O55" s="72"/>
      <c r="P55" s="72"/>
      <c r="Q55" s="66"/>
    </row>
    <row r="56" spans="1:17">
      <c r="A56" s="221"/>
      <c r="B56" s="402"/>
      <c r="C56" s="402"/>
      <c r="D56" s="402"/>
      <c r="E56" s="112"/>
      <c r="F56" s="425"/>
      <c r="G56" s="66"/>
      <c r="H56" s="66"/>
      <c r="J56" s="66"/>
      <c r="K56" s="66"/>
      <c r="L56" s="66"/>
      <c r="M56" s="66"/>
      <c r="N56" s="66"/>
      <c r="O56" s="66"/>
      <c r="P56" s="66"/>
      <c r="Q56" s="66"/>
    </row>
    <row r="57" spans="1:17">
      <c r="A57" s="221"/>
      <c r="B57" s="402"/>
      <c r="C57" s="402"/>
      <c r="D57" s="402"/>
      <c r="E57" s="112"/>
      <c r="F57" s="425"/>
      <c r="G57" s="66"/>
      <c r="H57" s="66"/>
      <c r="N57" s="83"/>
      <c r="O57" s="83"/>
      <c r="P57" s="83"/>
    </row>
    <row r="58" spans="1:17">
      <c r="A58" s="221"/>
      <c r="B58" s="402"/>
      <c r="C58" s="402"/>
      <c r="D58" s="402"/>
      <c r="E58" s="112"/>
      <c r="F58" s="425"/>
      <c r="G58" s="66"/>
      <c r="H58" s="66"/>
    </row>
    <row r="59" spans="1:17">
      <c r="A59" s="221"/>
      <c r="B59" s="402"/>
      <c r="C59" s="402"/>
      <c r="D59" s="402"/>
      <c r="E59" s="112"/>
      <c r="F59" s="425"/>
      <c r="G59" s="66"/>
      <c r="H59" s="66"/>
    </row>
    <row r="60" spans="1:17">
      <c r="A60" s="221"/>
      <c r="B60" s="402"/>
      <c r="C60" s="404"/>
      <c r="D60" s="402"/>
      <c r="E60" s="112"/>
      <c r="F60" s="425"/>
      <c r="G60" s="66"/>
      <c r="H60" s="66"/>
    </row>
    <row r="61" spans="1:17">
      <c r="A61" s="221"/>
      <c r="B61" s="66"/>
      <c r="C61" s="66"/>
      <c r="D61" s="66"/>
      <c r="E61" s="112"/>
      <c r="F61" s="112"/>
      <c r="G61" s="66"/>
      <c r="H61" s="66"/>
    </row>
    <row r="62" spans="1:17">
      <c r="A62" s="221"/>
      <c r="B62" s="112"/>
      <c r="C62" s="111"/>
      <c r="D62" s="66"/>
      <c r="E62" s="112"/>
      <c r="F62" s="425"/>
      <c r="G62" s="66"/>
      <c r="H62" s="66"/>
    </row>
    <row r="63" spans="1:17">
      <c r="A63" s="221"/>
      <c r="B63" s="112"/>
      <c r="C63" s="111"/>
      <c r="D63" s="66"/>
      <c r="E63" s="113"/>
      <c r="F63" s="425"/>
      <c r="G63" s="66"/>
      <c r="H63" s="66"/>
    </row>
    <row r="64" spans="1:17" hidden="1">
      <c r="A64" s="221"/>
      <c r="B64" s="112"/>
      <c r="C64" s="111"/>
      <c r="D64" s="66"/>
      <c r="E64" s="113"/>
      <c r="F64" s="425"/>
      <c r="G64" s="66"/>
      <c r="H64" s="66"/>
    </row>
    <row r="65" spans="1:8">
      <c r="A65" s="221"/>
      <c r="B65" s="66"/>
      <c r="C65" s="111"/>
      <c r="D65" s="66"/>
      <c r="E65" s="113"/>
      <c r="F65" s="425"/>
      <c r="G65" s="66"/>
      <c r="H65" s="66"/>
    </row>
    <row r="66" spans="1:8">
      <c r="A66" s="221"/>
      <c r="B66" s="112"/>
      <c r="C66" s="111"/>
      <c r="D66" s="66"/>
      <c r="E66" s="113"/>
      <c r="F66" s="425"/>
      <c r="G66" s="66"/>
      <c r="H66" s="66"/>
    </row>
    <row r="67" spans="1:8">
      <c r="A67" s="221"/>
      <c r="B67" s="66"/>
      <c r="C67" s="111"/>
      <c r="D67" s="66"/>
      <c r="E67" s="113"/>
      <c r="F67" s="425"/>
      <c r="G67" s="66"/>
      <c r="H67" s="66"/>
    </row>
    <row r="68" spans="1:8" ht="16.5">
      <c r="A68" s="221"/>
      <c r="B68" s="66"/>
      <c r="C68" s="111"/>
      <c r="D68" s="428"/>
      <c r="E68" s="113"/>
      <c r="F68" s="425"/>
      <c r="G68" s="66"/>
      <c r="H68" s="66"/>
    </row>
    <row r="69" spans="1:8" ht="16.5">
      <c r="A69" s="221"/>
      <c r="B69" s="66"/>
      <c r="C69" s="111"/>
      <c r="D69" s="428"/>
      <c r="E69" s="113"/>
      <c r="F69" s="425"/>
      <c r="G69" s="66"/>
      <c r="H69" s="66"/>
    </row>
    <row r="70" spans="1:8">
      <c r="A70" s="221"/>
      <c r="B70" s="66"/>
      <c r="C70" s="111"/>
      <c r="D70" s="66"/>
      <c r="E70" s="113"/>
      <c r="F70" s="425"/>
      <c r="G70" s="66"/>
      <c r="H70" s="429"/>
    </row>
    <row r="71" spans="1:8" ht="16.5">
      <c r="A71" s="221"/>
      <c r="B71" s="66"/>
      <c r="C71" s="111"/>
      <c r="D71" s="430"/>
      <c r="E71" s="113"/>
      <c r="F71" s="425"/>
      <c r="G71" s="66"/>
      <c r="H71" s="66"/>
    </row>
    <row r="72" spans="1:8" ht="16.5">
      <c r="A72" s="221"/>
      <c r="B72" s="66"/>
      <c r="C72" s="111"/>
      <c r="D72" s="430"/>
      <c r="E72" s="113"/>
      <c r="F72" s="425"/>
      <c r="G72" s="66"/>
      <c r="H72" s="66"/>
    </row>
    <row r="73" spans="1:8">
      <c r="A73" s="221"/>
      <c r="B73" s="66"/>
      <c r="C73" s="111"/>
      <c r="D73" s="66"/>
      <c r="E73" s="113"/>
      <c r="F73" s="425"/>
      <c r="G73" s="66"/>
      <c r="H73" s="66"/>
    </row>
    <row r="74" spans="1:8">
      <c r="A74" s="221"/>
      <c r="B74" s="66"/>
      <c r="C74" s="111"/>
      <c r="D74" s="66"/>
      <c r="E74" s="113"/>
      <c r="F74" s="425"/>
      <c r="G74" s="66"/>
      <c r="H74" s="66"/>
    </row>
    <row r="75" spans="1:8">
      <c r="B75" s="66"/>
      <c r="C75" s="111"/>
      <c r="D75" s="66"/>
      <c r="E75" s="113"/>
      <c r="F75" s="425"/>
      <c r="G75" s="66"/>
      <c r="H75" s="66"/>
    </row>
    <row r="76" spans="1:8">
      <c r="B76" s="66"/>
      <c r="C76" s="111"/>
      <c r="D76" s="66"/>
      <c r="E76" s="113"/>
      <c r="F76" s="425"/>
      <c r="G76" s="66"/>
      <c r="H76" s="66"/>
    </row>
    <row r="77" spans="1:8">
      <c r="B77" s="66"/>
      <c r="C77" s="111"/>
      <c r="D77" s="66"/>
      <c r="E77" s="113"/>
      <c r="F77" s="425"/>
      <c r="G77" s="66"/>
      <c r="H77" s="66"/>
    </row>
    <row r="78" spans="1:8">
      <c r="B78" s="66"/>
      <c r="C78" s="111"/>
      <c r="D78" s="66"/>
      <c r="E78" s="113"/>
      <c r="F78" s="425"/>
      <c r="G78" s="66"/>
      <c r="H78" s="66"/>
    </row>
    <row r="79" spans="1:8">
      <c r="B79" s="66"/>
      <c r="C79" s="111"/>
      <c r="D79" s="66"/>
      <c r="E79" s="113"/>
      <c r="F79" s="425"/>
      <c r="G79" s="66"/>
      <c r="H79" s="66"/>
    </row>
    <row r="80" spans="1:8">
      <c r="B80" s="66"/>
      <c r="C80" s="111"/>
      <c r="D80" s="66"/>
      <c r="E80" s="113"/>
      <c r="F80" s="425"/>
      <c r="G80" s="66"/>
      <c r="H80" s="66"/>
    </row>
    <row r="81" spans="2:8">
      <c r="B81" s="66"/>
      <c r="C81" s="111"/>
      <c r="D81" s="111"/>
      <c r="E81" s="113"/>
      <c r="F81" s="425"/>
      <c r="G81" s="66"/>
      <c r="H81" s="66"/>
    </row>
    <row r="82" spans="2:8">
      <c r="B82" s="66"/>
      <c r="C82" s="111"/>
      <c r="D82" s="112"/>
      <c r="E82" s="431"/>
      <c r="F82" s="425"/>
      <c r="G82" s="66"/>
      <c r="H82" s="66"/>
    </row>
    <row r="83" spans="2:8">
      <c r="B83" s="66"/>
      <c r="C83" s="111"/>
      <c r="D83" s="111"/>
      <c r="E83" s="431"/>
      <c r="F83" s="425"/>
      <c r="G83" s="66"/>
      <c r="H83" s="66"/>
    </row>
    <row r="84" spans="2:8">
      <c r="B84" s="66"/>
      <c r="C84" s="111"/>
      <c r="D84" s="111"/>
      <c r="E84" s="431"/>
      <c r="F84" s="425"/>
      <c r="G84" s="66"/>
      <c r="H84" s="66"/>
    </row>
    <row r="85" spans="2:8">
      <c r="B85" s="66"/>
      <c r="C85" s="111"/>
      <c r="D85" s="111"/>
      <c r="E85" s="431"/>
      <c r="F85" s="425"/>
      <c r="G85" s="66"/>
      <c r="H85" s="66"/>
    </row>
    <row r="86" spans="2:8">
      <c r="B86" s="66"/>
      <c r="C86" s="111"/>
      <c r="D86" s="66"/>
      <c r="E86" s="431"/>
      <c r="F86" s="425"/>
      <c r="G86" s="66"/>
      <c r="H86" s="66"/>
    </row>
    <row r="87" spans="2:8">
      <c r="B87" s="66"/>
      <c r="C87" s="111"/>
      <c r="D87" s="66"/>
      <c r="E87" s="431"/>
      <c r="F87" s="425"/>
      <c r="G87" s="66"/>
      <c r="H87" s="66"/>
    </row>
    <row r="88" spans="2:8">
      <c r="B88" s="102"/>
      <c r="C88" s="432"/>
      <c r="D88" s="102"/>
      <c r="E88" s="117"/>
      <c r="F88" s="425"/>
      <c r="G88" s="66"/>
      <c r="H88" s="66"/>
    </row>
    <row r="89" spans="2:8">
      <c r="B89" s="66"/>
      <c r="C89" s="111"/>
      <c r="D89" s="111"/>
      <c r="E89" s="431"/>
      <c r="F89" s="425"/>
      <c r="G89" s="66"/>
      <c r="H89" s="66"/>
    </row>
    <row r="90" spans="2:8">
      <c r="B90" s="66"/>
      <c r="C90" s="66"/>
      <c r="D90" s="112"/>
      <c r="E90" s="113"/>
      <c r="F90" s="425"/>
      <c r="G90" s="66"/>
      <c r="H90" s="66"/>
    </row>
  </sheetData>
  <pageMargins left="0.31496062992125984" right="0.19685039370078741" top="0.55118110236220474" bottom="0.6692913385826772" header="0.51181102362204722" footer="0.51181102362204722"/>
  <pageSetup paperSize="9" scale="110" orientation="portrait" copies="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4"/>
  <sheetViews>
    <sheetView showGridLines="0" showZeros="0" topLeftCell="A852" zoomScale="70" zoomScaleNormal="70" workbookViewId="0">
      <selection activeCell="B539" sqref="B539:H872"/>
    </sheetView>
  </sheetViews>
  <sheetFormatPr defaultRowHeight="15"/>
  <cols>
    <col min="4" max="4" width="17" style="17" customWidth="1"/>
    <col min="5" max="5" width="10.5703125" style="475" customWidth="1"/>
    <col min="7" max="7" width="11.5703125" customWidth="1"/>
    <col min="8" max="8" width="9.140625" customWidth="1"/>
    <col min="12" max="12" width="9.140625" style="40"/>
    <col min="13" max="13" width="18" style="40" customWidth="1"/>
    <col min="14" max="14" width="14.140625" style="40" hidden="1" customWidth="1"/>
    <col min="15" max="15" width="20" style="40" customWidth="1"/>
    <col min="16" max="16" width="9.140625" style="40"/>
    <col min="17" max="17" width="18.140625" style="40" customWidth="1"/>
    <col min="18" max="18" width="15.5703125" style="40" customWidth="1"/>
    <col min="19" max="19" width="12.42578125" style="40" customWidth="1"/>
    <col min="20" max="22" width="9.140625" style="40"/>
  </cols>
  <sheetData>
    <row r="1" spans="1:8">
      <c r="A1" s="23"/>
    </row>
    <row r="2" spans="1:8" hidden="1">
      <c r="C2" t="s">
        <v>46</v>
      </c>
    </row>
    <row r="3" spans="1:8" hidden="1">
      <c r="C3" t="s">
        <v>50</v>
      </c>
    </row>
    <row r="4" spans="1:8" hidden="1"/>
    <row r="5" spans="1:8" hidden="1">
      <c r="B5" t="s">
        <v>62</v>
      </c>
      <c r="D5" s="17" t="e">
        <f>+'MAR 24'!#REF!</f>
        <v>#REF!</v>
      </c>
      <c r="G5" t="s">
        <v>47</v>
      </c>
      <c r="H5" s="21">
        <f>+[2]BAdvice!C10</f>
        <v>44774</v>
      </c>
    </row>
    <row r="6" spans="1:8" hidden="1">
      <c r="B6" t="s">
        <v>61</v>
      </c>
      <c r="D6" s="17" t="s">
        <v>51</v>
      </c>
    </row>
    <row r="7" spans="1:8" hidden="1">
      <c r="B7" t="s">
        <v>53</v>
      </c>
      <c r="D7" s="17" t="e">
        <f>+[2]BAdvice!#REF!</f>
        <v>#REF!</v>
      </c>
      <c r="G7" t="s">
        <v>54</v>
      </c>
    </row>
    <row r="8" spans="1:8" hidden="1">
      <c r="B8" t="s">
        <v>52</v>
      </c>
      <c r="D8" s="17" t="s">
        <v>68</v>
      </c>
      <c r="G8" t="s">
        <v>63</v>
      </c>
    </row>
    <row r="9" spans="1:8" hidden="1"/>
    <row r="10" spans="1:8" hidden="1">
      <c r="B10" s="609" t="s">
        <v>65</v>
      </c>
      <c r="C10" s="610"/>
      <c r="D10" s="610"/>
      <c r="E10" s="611"/>
      <c r="F10" s="609" t="s">
        <v>55</v>
      </c>
      <c r="G10" s="610"/>
      <c r="H10" s="611"/>
    </row>
    <row r="11" spans="1:8" hidden="1">
      <c r="B11" s="23"/>
      <c r="C11" s="22"/>
      <c r="D11" s="37"/>
      <c r="E11" s="513"/>
      <c r="F11" s="23"/>
      <c r="G11" s="22"/>
      <c r="H11" s="24"/>
    </row>
    <row r="12" spans="1:8" hidden="1">
      <c r="B12" s="23" t="s">
        <v>56</v>
      </c>
      <c r="C12" s="22"/>
      <c r="D12" s="37"/>
      <c r="E12" s="513" t="e">
        <f>+'MAR 24'!#REF!</f>
        <v>#REF!</v>
      </c>
      <c r="F12" s="23" t="s">
        <v>11</v>
      </c>
      <c r="G12" s="22"/>
      <c r="H12" s="24" t="e">
        <f>+'MAR 24'!#REF!</f>
        <v>#REF!</v>
      </c>
    </row>
    <row r="13" spans="1:8" hidden="1">
      <c r="B13" s="23" t="s">
        <v>276</v>
      </c>
      <c r="C13" s="22"/>
      <c r="D13" s="37"/>
      <c r="E13" s="513" t="e">
        <f>+'MAR 24'!#REF!</f>
        <v>#REF!</v>
      </c>
      <c r="F13" t="s">
        <v>48</v>
      </c>
      <c r="G13" s="22"/>
      <c r="H13" s="24" t="e">
        <f>+'MAR 24'!#REF!</f>
        <v>#REF!</v>
      </c>
    </row>
    <row r="14" spans="1:8" hidden="1">
      <c r="B14" s="23" t="s">
        <v>8</v>
      </c>
      <c r="C14" s="22"/>
      <c r="D14" s="37"/>
      <c r="E14" s="514" t="e">
        <f>+'MAR 24'!#REF!</f>
        <v>#REF!</v>
      </c>
      <c r="F14" s="23" t="s">
        <v>18</v>
      </c>
      <c r="G14" s="22"/>
      <c r="H14" s="24" t="e">
        <f>+'MAR 24'!#REF!</f>
        <v>#REF!</v>
      </c>
    </row>
    <row r="15" spans="1:8" hidden="1">
      <c r="B15" s="23" t="s">
        <v>9</v>
      </c>
      <c r="C15" s="22"/>
      <c r="D15" s="37"/>
      <c r="E15" s="513" t="e">
        <f>+'MAR 24'!#REF!</f>
        <v>#REF!</v>
      </c>
      <c r="F15" s="23" t="s">
        <v>13</v>
      </c>
      <c r="G15" s="22"/>
      <c r="H15" s="24" t="e">
        <f>+'MAR 24'!#REF!</f>
        <v>#REF!</v>
      </c>
    </row>
    <row r="16" spans="1:8" hidden="1">
      <c r="B16" s="23" t="s">
        <v>59</v>
      </c>
      <c r="C16" s="22"/>
      <c r="D16" s="37"/>
      <c r="E16" s="513" t="e">
        <f>+'MAR 24'!#REF!</f>
        <v>#REF!</v>
      </c>
      <c r="F16" s="23" t="s">
        <v>58</v>
      </c>
      <c r="G16" s="22"/>
      <c r="H16" s="24" t="e">
        <f>+'MAR 24'!#REF!</f>
        <v>#REF!</v>
      </c>
    </row>
    <row r="17" spans="2:8" hidden="1">
      <c r="B17" s="23" t="s">
        <v>290</v>
      </c>
      <c r="C17" s="22"/>
      <c r="D17" s="37"/>
      <c r="E17" s="513" t="e">
        <f>+'MAR 24'!#REF!</f>
        <v>#REF!</v>
      </c>
      <c r="F17" s="23" t="s">
        <v>67</v>
      </c>
      <c r="G17" s="22"/>
      <c r="H17" s="24" t="e">
        <f>+'MAR 24'!#REF!</f>
        <v>#REF!</v>
      </c>
    </row>
    <row r="18" spans="2:8" hidden="1">
      <c r="B18" s="23" t="s">
        <v>107</v>
      </c>
      <c r="C18" s="22"/>
      <c r="D18" s="37"/>
      <c r="E18" s="513" t="e">
        <f>+'MAR 24'!#REF!</f>
        <v>#REF!</v>
      </c>
      <c r="F18" s="23" t="s">
        <v>66</v>
      </c>
      <c r="G18" s="22"/>
      <c r="H18" s="24" t="e">
        <f>+'MAR 24'!#REF!</f>
        <v>#REF!</v>
      </c>
    </row>
    <row r="19" spans="2:8" hidden="1">
      <c r="B19" s="23" t="s">
        <v>108</v>
      </c>
      <c r="C19" s="22"/>
      <c r="D19" s="37"/>
      <c r="E19" s="513" t="e">
        <f>+'MAR 24'!#REF!</f>
        <v>#REF!</v>
      </c>
      <c r="F19" s="23" t="s">
        <v>37</v>
      </c>
      <c r="G19" s="22"/>
      <c r="H19" s="35" t="e">
        <f>+'MAR 24'!#REF!</f>
        <v>#REF!</v>
      </c>
    </row>
    <row r="20" spans="2:8" hidden="1">
      <c r="B20" s="23" t="s">
        <v>117</v>
      </c>
      <c r="C20" s="22"/>
      <c r="D20" s="37"/>
      <c r="E20" s="514" t="e">
        <f>+'MAR 24'!#REF!</f>
        <v>#REF!</v>
      </c>
      <c r="F20" s="23"/>
      <c r="G20" s="22"/>
      <c r="H20" s="24"/>
    </row>
    <row r="21" spans="2:8" hidden="1">
      <c r="B21" s="23"/>
      <c r="C21" s="22"/>
      <c r="D21" s="37"/>
      <c r="E21" s="513"/>
      <c r="F21" s="23"/>
      <c r="G21" s="22"/>
      <c r="H21" s="24"/>
    </row>
    <row r="22" spans="2:8" hidden="1">
      <c r="B22" s="23"/>
      <c r="C22" s="22"/>
      <c r="D22" s="37"/>
      <c r="E22" s="513"/>
      <c r="F22" s="23"/>
      <c r="G22" s="22"/>
      <c r="H22" s="24"/>
    </row>
    <row r="23" spans="2:8" hidden="1">
      <c r="B23" s="23"/>
      <c r="C23" s="22"/>
      <c r="D23" s="37"/>
      <c r="E23" s="513"/>
      <c r="F23" s="23"/>
      <c r="G23" s="22"/>
      <c r="H23" s="24"/>
    </row>
    <row r="24" spans="2:8" hidden="1">
      <c r="B24" s="25" t="s">
        <v>0</v>
      </c>
      <c r="C24" s="26"/>
      <c r="D24" s="38"/>
      <c r="E24" s="515" t="e">
        <f>SUM(E12:E23)</f>
        <v>#REF!</v>
      </c>
      <c r="F24" s="25"/>
      <c r="G24" s="26"/>
      <c r="H24" s="36" t="e">
        <f>SUM(H12:H23)</f>
        <v>#REF!</v>
      </c>
    </row>
    <row r="25" spans="2:8" hidden="1">
      <c r="B25" s="25" t="s">
        <v>60</v>
      </c>
      <c r="C25" s="26"/>
      <c r="D25" s="38"/>
      <c r="E25" s="516" t="e">
        <f>+E24-H24</f>
        <v>#REF!</v>
      </c>
      <c r="F25" s="26"/>
      <c r="G25" s="26"/>
      <c r="H25" s="27"/>
    </row>
    <row r="27" spans="2:8" hidden="1"/>
    <row r="28" spans="2:8" hidden="1"/>
    <row r="29" spans="2:8" hidden="1"/>
    <row r="30" spans="2:8" hidden="1"/>
    <row r="32" spans="2:8">
      <c r="C32" t="s">
        <v>46</v>
      </c>
    </row>
    <row r="33" spans="2:8">
      <c r="C33" t="s">
        <v>50</v>
      </c>
    </row>
    <row r="35" spans="2:8">
      <c r="B35" t="s">
        <v>62</v>
      </c>
      <c r="D35" s="17" t="str">
        <f>+'MAR 24'!B7</f>
        <v>Vishal kalia</v>
      </c>
      <c r="G35" t="s">
        <v>47</v>
      </c>
      <c r="H35" s="21">
        <f>+BAdvice!C10</f>
        <v>45352</v>
      </c>
    </row>
    <row r="36" spans="2:8">
      <c r="B36" t="s">
        <v>61</v>
      </c>
      <c r="D36" s="39" t="s">
        <v>216</v>
      </c>
    </row>
    <row r="37" spans="2:8">
      <c r="B37" t="s">
        <v>53</v>
      </c>
      <c r="D37" s="17">
        <f>+[2]BAdvice!C13</f>
        <v>10012644143</v>
      </c>
      <c r="G37" t="s">
        <v>54</v>
      </c>
    </row>
    <row r="38" spans="2:8">
      <c r="B38" t="s">
        <v>52</v>
      </c>
      <c r="D38" s="17" t="str">
        <f>+D8</f>
        <v>PN-7656</v>
      </c>
      <c r="G38" t="s">
        <v>63</v>
      </c>
    </row>
    <row r="40" spans="2:8">
      <c r="B40" s="609" t="s">
        <v>65</v>
      </c>
      <c r="C40" s="610"/>
      <c r="D40" s="610"/>
      <c r="E40" s="611"/>
      <c r="F40" s="609" t="s">
        <v>55</v>
      </c>
      <c r="G40" s="610"/>
      <c r="H40" s="611"/>
    </row>
    <row r="41" spans="2:8">
      <c r="B41" s="23"/>
      <c r="C41" s="22"/>
      <c r="D41" s="37"/>
      <c r="E41" s="513"/>
      <c r="F41" s="23"/>
      <c r="G41" s="22"/>
      <c r="H41" s="24"/>
    </row>
    <row r="42" spans="2:8">
      <c r="B42" s="23" t="s">
        <v>56</v>
      </c>
      <c r="C42" s="22"/>
      <c r="D42" s="37"/>
      <c r="E42" s="513">
        <f>+'MAR 24'!C7</f>
        <v>130600</v>
      </c>
      <c r="F42" s="23" t="s">
        <v>11</v>
      </c>
      <c r="G42" s="22"/>
      <c r="H42" s="24">
        <f>+'MAR 24'!O7</f>
        <v>22881.119999999999</v>
      </c>
    </row>
    <row r="43" spans="2:8">
      <c r="B43" s="23" t="s">
        <v>276</v>
      </c>
      <c r="C43" s="22"/>
      <c r="D43" s="37"/>
      <c r="E43" s="526" t="str">
        <f>+'MAR 24'!D7</f>
        <v>13/1</v>
      </c>
      <c r="F43" t="s">
        <v>48</v>
      </c>
      <c r="G43" s="22"/>
      <c r="H43" s="24">
        <f>+'MAR 24'!P7</f>
        <v>36000</v>
      </c>
    </row>
    <row r="44" spans="2:8">
      <c r="B44" s="23" t="s">
        <v>8</v>
      </c>
      <c r="C44" s="22"/>
      <c r="D44" s="37"/>
      <c r="E44" s="514">
        <f>+'MAR 24'!H7</f>
        <v>60076</v>
      </c>
      <c r="F44" s="23" t="s">
        <v>18</v>
      </c>
      <c r="G44" s="22"/>
      <c r="H44" s="24">
        <f>+'MAR 24'!Q7</f>
        <v>60</v>
      </c>
    </row>
    <row r="45" spans="2:8">
      <c r="B45" s="23" t="s">
        <v>9</v>
      </c>
      <c r="C45" s="22"/>
      <c r="D45" s="37"/>
      <c r="E45" s="514">
        <f>+'MAR 24'!I7</f>
        <v>0</v>
      </c>
      <c r="F45" s="23" t="s">
        <v>13</v>
      </c>
      <c r="G45" s="22"/>
      <c r="H45" s="24">
        <f>+'MAR 24'!R7</f>
        <v>110</v>
      </c>
    </row>
    <row r="46" spans="2:8">
      <c r="B46" s="23" t="s">
        <v>59</v>
      </c>
      <c r="C46" s="22"/>
      <c r="D46" s="37"/>
      <c r="E46" s="513">
        <f>+'MAR 24'!J7</f>
        <v>1000</v>
      </c>
      <c r="F46" s="23" t="s">
        <v>58</v>
      </c>
      <c r="G46" s="22"/>
      <c r="H46" s="24">
        <f>+'MAR 24'!U7</f>
        <v>0</v>
      </c>
    </row>
    <row r="47" spans="2:8">
      <c r="B47" s="23" t="s">
        <v>290</v>
      </c>
      <c r="C47" s="22"/>
      <c r="D47" s="37"/>
      <c r="E47" s="513">
        <f>+'MAR 24'!K7</f>
        <v>5256</v>
      </c>
      <c r="F47" s="23" t="s">
        <v>67</v>
      </c>
      <c r="G47" s="22"/>
      <c r="H47" s="24">
        <f>+'MAR 24'!V7</f>
        <v>0</v>
      </c>
    </row>
    <row r="48" spans="2:8">
      <c r="B48" s="23" t="s">
        <v>107</v>
      </c>
      <c r="C48" s="22"/>
      <c r="D48" s="37"/>
      <c r="E48" s="513">
        <f>+'MAR 24'!L7</f>
        <v>0</v>
      </c>
      <c r="F48" s="23" t="s">
        <v>66</v>
      </c>
      <c r="G48" s="22"/>
      <c r="H48" s="24">
        <f>+'MAR 24'!W7</f>
        <v>0</v>
      </c>
    </row>
    <row r="49" spans="2:8">
      <c r="B49" s="23" t="s">
        <v>108</v>
      </c>
      <c r="C49" s="22"/>
      <c r="D49" s="37"/>
      <c r="E49" s="513">
        <f>+'MAR 24'!M7</f>
        <v>0</v>
      </c>
      <c r="F49" s="23" t="s">
        <v>37</v>
      </c>
      <c r="G49" s="22"/>
      <c r="H49" s="35">
        <f>+'MAR 24'!S7</f>
        <v>0</v>
      </c>
    </row>
    <row r="50" spans="2:8">
      <c r="B50" s="23" t="s">
        <v>117</v>
      </c>
      <c r="C50" s="22"/>
      <c r="D50" s="37"/>
      <c r="E50" s="514">
        <f>+'MAR 24'!F7</f>
        <v>0</v>
      </c>
      <c r="F50" s="23"/>
      <c r="G50" s="22"/>
      <c r="H50" s="24"/>
    </row>
    <row r="51" spans="2:8">
      <c r="B51" s="23"/>
      <c r="C51" s="22"/>
      <c r="D51" s="37"/>
      <c r="E51" s="513"/>
      <c r="F51" s="23"/>
      <c r="G51" s="22"/>
      <c r="H51" s="24"/>
    </row>
    <row r="52" spans="2:8">
      <c r="B52" s="23"/>
      <c r="C52" s="22"/>
      <c r="D52" s="37"/>
      <c r="E52" s="513"/>
      <c r="F52" s="23"/>
      <c r="G52" s="22"/>
      <c r="H52" s="24"/>
    </row>
    <row r="53" spans="2:8">
      <c r="B53" s="23"/>
      <c r="C53" s="22"/>
      <c r="D53" s="37"/>
      <c r="E53" s="513"/>
      <c r="F53" s="23"/>
      <c r="G53" s="22"/>
      <c r="H53" s="24"/>
    </row>
    <row r="54" spans="2:8">
      <c r="B54" s="25" t="s">
        <v>0</v>
      </c>
      <c r="C54" s="26"/>
      <c r="D54" s="38"/>
      <c r="E54" s="517">
        <f>SUM(E42:E53)</f>
        <v>196932</v>
      </c>
      <c r="F54" s="25"/>
      <c r="G54" s="26"/>
      <c r="H54" s="36">
        <f>SUM(H42:H53)</f>
        <v>59051.119999999995</v>
      </c>
    </row>
    <row r="55" spans="2:8">
      <c r="B55" s="25" t="s">
        <v>60</v>
      </c>
      <c r="C55" s="26"/>
      <c r="D55" s="38"/>
      <c r="E55" s="516">
        <f>+E54-H54</f>
        <v>137880.88</v>
      </c>
      <c r="F55" s="26"/>
      <c r="G55" s="26"/>
      <c r="H55" s="27"/>
    </row>
    <row r="56" spans="2:8" hidden="1"/>
    <row r="57" spans="2:8" hidden="1"/>
    <row r="58" spans="2:8" hidden="1"/>
    <row r="59" spans="2:8" hidden="1"/>
    <row r="60" spans="2:8" hidden="1">
      <c r="C60" t="s">
        <v>46</v>
      </c>
    </row>
    <row r="61" spans="2:8" hidden="1">
      <c r="C61" t="s">
        <v>50</v>
      </c>
    </row>
    <row r="62" spans="2:8" hidden="1"/>
    <row r="63" spans="2:8" hidden="1">
      <c r="B63" t="s">
        <v>62</v>
      </c>
      <c r="D63" s="17" t="e">
        <f>+'MAR 24'!#REF!</f>
        <v>#REF!</v>
      </c>
      <c r="G63" t="s">
        <v>47</v>
      </c>
      <c r="H63" s="21">
        <f>+H35</f>
        <v>45352</v>
      </c>
    </row>
    <row r="64" spans="2:8" hidden="1">
      <c r="B64" t="s">
        <v>61</v>
      </c>
      <c r="D64" s="34" t="s">
        <v>49</v>
      </c>
    </row>
    <row r="65" spans="2:8" hidden="1">
      <c r="B65" t="s">
        <v>53</v>
      </c>
      <c r="D65" s="17" t="e">
        <f>+[2]BAdvice!#REF!</f>
        <v>#REF!</v>
      </c>
      <c r="G65" t="s">
        <v>54</v>
      </c>
    </row>
    <row r="66" spans="2:8" hidden="1">
      <c r="B66" t="s">
        <v>52</v>
      </c>
      <c r="D66" s="17" t="str">
        <f>+D38</f>
        <v>PN-7656</v>
      </c>
      <c r="G66" t="s">
        <v>63</v>
      </c>
    </row>
    <row r="67" spans="2:8" hidden="1"/>
    <row r="68" spans="2:8" hidden="1">
      <c r="B68" s="609" t="s">
        <v>65</v>
      </c>
      <c r="C68" s="610"/>
      <c r="D68" s="610"/>
      <c r="E68" s="611"/>
      <c r="F68" s="609" t="s">
        <v>55</v>
      </c>
      <c r="G68" s="610"/>
      <c r="H68" s="611"/>
    </row>
    <row r="69" spans="2:8" hidden="1">
      <c r="B69" s="23"/>
      <c r="C69" s="22"/>
      <c r="D69" s="37"/>
      <c r="E69" s="513"/>
      <c r="F69" s="23"/>
      <c r="G69" s="22"/>
      <c r="H69" s="24"/>
    </row>
    <row r="70" spans="2:8" hidden="1">
      <c r="B70" s="23" t="s">
        <v>56</v>
      </c>
      <c r="C70" s="22"/>
      <c r="D70" s="37"/>
      <c r="E70" s="513" t="e">
        <f>+'MAR 24'!#REF!</f>
        <v>#REF!</v>
      </c>
      <c r="F70" s="23" t="s">
        <v>11</v>
      </c>
      <c r="G70" s="22"/>
      <c r="H70" s="24" t="e">
        <f>+'MAR 24'!#REF!</f>
        <v>#REF!</v>
      </c>
    </row>
    <row r="71" spans="2:8" hidden="1">
      <c r="B71" s="23" t="s">
        <v>276</v>
      </c>
      <c r="C71" s="22"/>
      <c r="D71" s="37"/>
      <c r="E71" s="513" t="e">
        <f>+'MAR 24'!#REF!</f>
        <v>#REF!</v>
      </c>
      <c r="F71" t="s">
        <v>48</v>
      </c>
      <c r="G71" s="22"/>
      <c r="H71" s="24" t="e">
        <f>+'MAR 24'!#REF!</f>
        <v>#REF!</v>
      </c>
    </row>
    <row r="72" spans="2:8" hidden="1">
      <c r="B72" s="23" t="s">
        <v>8</v>
      </c>
      <c r="C72" s="22"/>
      <c r="D72" s="37"/>
      <c r="E72" s="514" t="e">
        <f>+'MAR 24'!#REF!</f>
        <v>#REF!</v>
      </c>
      <c r="F72" s="23" t="s">
        <v>18</v>
      </c>
      <c r="G72" s="22"/>
      <c r="H72" s="24" t="e">
        <f>+'MAR 24'!#REF!</f>
        <v>#REF!</v>
      </c>
    </row>
    <row r="73" spans="2:8" hidden="1">
      <c r="B73" s="23" t="s">
        <v>9</v>
      </c>
      <c r="C73" s="22"/>
      <c r="D73" s="37"/>
      <c r="E73" s="513" t="e">
        <f>+'MAR 24'!#REF!</f>
        <v>#REF!</v>
      </c>
      <c r="F73" s="23" t="s">
        <v>13</v>
      </c>
      <c r="G73" s="22"/>
      <c r="H73" s="24" t="e">
        <f>+'MAR 24'!#REF!</f>
        <v>#REF!</v>
      </c>
    </row>
    <row r="74" spans="2:8" hidden="1">
      <c r="B74" s="23" t="s">
        <v>59</v>
      </c>
      <c r="C74" s="22"/>
      <c r="D74" s="37"/>
      <c r="E74" s="513" t="e">
        <f>+'MAR 24'!#REF!</f>
        <v>#REF!</v>
      </c>
      <c r="F74" s="23" t="s">
        <v>58</v>
      </c>
      <c r="G74" s="22"/>
      <c r="H74" s="24" t="e">
        <f>+'MAR 24'!#REF!</f>
        <v>#REF!</v>
      </c>
    </row>
    <row r="75" spans="2:8" hidden="1">
      <c r="B75" s="23" t="s">
        <v>290</v>
      </c>
      <c r="C75" s="22"/>
      <c r="D75" s="37"/>
      <c r="E75" s="513" t="e">
        <f>+'MAR 24'!#REF!</f>
        <v>#REF!</v>
      </c>
      <c r="F75" s="23" t="s">
        <v>67</v>
      </c>
      <c r="G75" s="22"/>
      <c r="H75" s="24">
        <f>+'MAR 24'!V45</f>
        <v>0</v>
      </c>
    </row>
    <row r="76" spans="2:8" hidden="1">
      <c r="B76" s="23" t="s">
        <v>107</v>
      </c>
      <c r="C76" s="22"/>
      <c r="D76" s="37"/>
      <c r="E76" s="513" t="e">
        <f>+'MAR 24'!#REF!</f>
        <v>#REF!</v>
      </c>
      <c r="F76" s="23" t="s">
        <v>66</v>
      </c>
      <c r="G76" s="22"/>
      <c r="H76" s="24" t="e">
        <f>+'MAR 24'!#REF!</f>
        <v>#REF!</v>
      </c>
    </row>
    <row r="77" spans="2:8" hidden="1">
      <c r="B77" s="23" t="s">
        <v>108</v>
      </c>
      <c r="C77" s="22"/>
      <c r="D77" s="37"/>
      <c r="E77" s="513" t="e">
        <f>+'MAR 24'!#REF!</f>
        <v>#REF!</v>
      </c>
      <c r="F77" s="23" t="s">
        <v>37</v>
      </c>
      <c r="G77" s="22"/>
      <c r="H77" s="35" t="e">
        <f>+'MAR 24'!#REF!</f>
        <v>#REF!</v>
      </c>
    </row>
    <row r="78" spans="2:8" hidden="1">
      <c r="B78" s="23"/>
      <c r="C78" s="22"/>
      <c r="D78" s="37"/>
      <c r="E78" s="513"/>
      <c r="F78" s="23"/>
      <c r="G78" s="22"/>
      <c r="H78" s="24"/>
    </row>
    <row r="79" spans="2:8" hidden="1">
      <c r="B79" s="23"/>
      <c r="C79" s="22"/>
      <c r="D79" s="37"/>
      <c r="E79" s="513"/>
      <c r="F79" s="23"/>
      <c r="G79" s="22"/>
      <c r="H79" s="24"/>
    </row>
    <row r="80" spans="2:8" hidden="1">
      <c r="B80" s="23"/>
      <c r="C80" s="22"/>
      <c r="D80" s="37"/>
      <c r="E80" s="513"/>
      <c r="F80" s="23"/>
      <c r="G80" s="22"/>
      <c r="H80" s="24"/>
    </row>
    <row r="81" spans="2:8" hidden="1">
      <c r="B81" s="23"/>
      <c r="C81" s="22"/>
      <c r="D81" s="37"/>
      <c r="E81" s="513"/>
      <c r="F81" s="23"/>
      <c r="G81" s="22"/>
      <c r="H81" s="24"/>
    </row>
    <row r="82" spans="2:8" hidden="1">
      <c r="B82" s="25" t="s">
        <v>0</v>
      </c>
      <c r="C82" s="26"/>
      <c r="D82" s="38"/>
      <c r="E82" s="517" t="e">
        <f>SUM(E70:E81)</f>
        <v>#REF!</v>
      </c>
      <c r="F82" s="25"/>
      <c r="G82" s="26"/>
      <c r="H82" s="36" t="e">
        <f>SUM(H70:H81)</f>
        <v>#REF!</v>
      </c>
    </row>
    <row r="83" spans="2:8" hidden="1">
      <c r="B83" s="25" t="s">
        <v>60</v>
      </c>
      <c r="C83" s="26"/>
      <c r="D83" s="38"/>
      <c r="E83" s="516" t="e">
        <f>+E82-H82</f>
        <v>#REF!</v>
      </c>
      <c r="F83" s="26"/>
      <c r="G83" s="26"/>
      <c r="H83" s="27"/>
    </row>
    <row r="84" spans="2:8" hidden="1"/>
    <row r="85" spans="2:8" hidden="1"/>
    <row r="86" spans="2:8" hidden="1"/>
    <row r="88" spans="2:8" hidden="1">
      <c r="C88" t="s">
        <v>46</v>
      </c>
    </row>
    <row r="89" spans="2:8" hidden="1">
      <c r="C89" t="s">
        <v>50</v>
      </c>
    </row>
    <row r="90" spans="2:8" hidden="1"/>
    <row r="91" spans="2:8" hidden="1">
      <c r="B91" t="s">
        <v>62</v>
      </c>
      <c r="D91" s="17" t="e">
        <f>+'MAR 24'!#REF!</f>
        <v>#REF!</v>
      </c>
      <c r="G91" t="s">
        <v>47</v>
      </c>
      <c r="H91" s="21">
        <f>+H63</f>
        <v>45352</v>
      </c>
    </row>
    <row r="92" spans="2:8" hidden="1">
      <c r="B92" t="s">
        <v>61</v>
      </c>
      <c r="D92" s="34" t="s">
        <v>49</v>
      </c>
    </row>
    <row r="93" spans="2:8" hidden="1">
      <c r="B93" t="s">
        <v>53</v>
      </c>
      <c r="D93" s="17" t="e">
        <f>+[2]BAdvice!#REF!</f>
        <v>#REF!</v>
      </c>
      <c r="G93" t="s">
        <v>54</v>
      </c>
    </row>
    <row r="94" spans="2:8" hidden="1">
      <c r="B94" t="s">
        <v>52</v>
      </c>
      <c r="D94" s="17" t="str">
        <f>+D66</f>
        <v>PN-7656</v>
      </c>
      <c r="G94" t="s">
        <v>63</v>
      </c>
    </row>
    <row r="95" spans="2:8" hidden="1"/>
    <row r="96" spans="2:8" hidden="1">
      <c r="B96" s="609" t="s">
        <v>65</v>
      </c>
      <c r="C96" s="610"/>
      <c r="D96" s="610"/>
      <c r="E96" s="611"/>
      <c r="F96" s="609" t="s">
        <v>55</v>
      </c>
      <c r="G96" s="610"/>
      <c r="H96" s="611"/>
    </row>
    <row r="97" spans="2:8" hidden="1">
      <c r="B97" s="23"/>
      <c r="C97" s="22"/>
      <c r="D97" s="37"/>
      <c r="E97" s="513"/>
      <c r="F97" s="23"/>
      <c r="G97" s="22"/>
      <c r="H97" s="24"/>
    </row>
    <row r="98" spans="2:8" hidden="1">
      <c r="B98" s="23" t="s">
        <v>56</v>
      </c>
      <c r="C98" s="22"/>
      <c r="D98" s="37"/>
      <c r="E98" s="513" t="e">
        <f>+'MAR 24'!#REF!</f>
        <v>#REF!</v>
      </c>
      <c r="F98" s="23" t="s">
        <v>11</v>
      </c>
      <c r="G98" s="22"/>
      <c r="H98" s="24" t="e">
        <f>+'MAR 24'!#REF!</f>
        <v>#REF!</v>
      </c>
    </row>
    <row r="99" spans="2:8" hidden="1">
      <c r="B99" s="23" t="s">
        <v>276</v>
      </c>
      <c r="C99" s="22"/>
      <c r="D99" s="37"/>
      <c r="E99" s="513" t="e">
        <f>+'MAR 24'!#REF!</f>
        <v>#REF!</v>
      </c>
      <c r="F99" t="s">
        <v>48</v>
      </c>
      <c r="G99" s="22"/>
      <c r="H99" s="24" t="e">
        <f>+'MAR 24'!#REF!</f>
        <v>#REF!</v>
      </c>
    </row>
    <row r="100" spans="2:8" hidden="1">
      <c r="B100" s="23" t="s">
        <v>8</v>
      </c>
      <c r="C100" s="22"/>
      <c r="D100" s="37"/>
      <c r="E100" s="514" t="e">
        <f>+'MAR 24'!#REF!</f>
        <v>#REF!</v>
      </c>
      <c r="F100" s="23" t="s">
        <v>18</v>
      </c>
      <c r="G100" s="22"/>
      <c r="H100" s="24" t="e">
        <f>+'MAR 24'!#REF!</f>
        <v>#REF!</v>
      </c>
    </row>
    <row r="101" spans="2:8" hidden="1">
      <c r="B101" s="23" t="s">
        <v>9</v>
      </c>
      <c r="C101" s="22"/>
      <c r="D101" s="37"/>
      <c r="E101" s="513" t="e">
        <f>+'MAR 24'!#REF!</f>
        <v>#REF!</v>
      </c>
      <c r="F101" s="23" t="s">
        <v>13</v>
      </c>
      <c r="G101" s="22"/>
      <c r="H101" s="24" t="e">
        <f>+'MAR 24'!#REF!</f>
        <v>#REF!</v>
      </c>
    </row>
    <row r="102" spans="2:8" hidden="1">
      <c r="B102" s="23" t="s">
        <v>59</v>
      </c>
      <c r="C102" s="22"/>
      <c r="D102" s="37"/>
      <c r="E102" s="513" t="e">
        <f>+'MAR 24'!#REF!</f>
        <v>#REF!</v>
      </c>
      <c r="F102" s="23" t="s">
        <v>58</v>
      </c>
      <c r="G102" s="22"/>
      <c r="H102" s="24" t="e">
        <f>+'MAR 24'!#REF!</f>
        <v>#REF!</v>
      </c>
    </row>
    <row r="103" spans="2:8" hidden="1">
      <c r="B103" s="23" t="s">
        <v>290</v>
      </c>
      <c r="C103" s="22"/>
      <c r="D103" s="37"/>
      <c r="E103" s="513" t="e">
        <f>+'MAR 24'!#REF!</f>
        <v>#REF!</v>
      </c>
      <c r="F103" s="23" t="s">
        <v>67</v>
      </c>
      <c r="G103" s="22"/>
      <c r="H103" s="24" t="e">
        <f>+'MAR 24'!#REF!</f>
        <v>#REF!</v>
      </c>
    </row>
    <row r="104" spans="2:8" hidden="1">
      <c r="B104" s="23" t="s">
        <v>107</v>
      </c>
      <c r="C104" s="22"/>
      <c r="D104" s="37"/>
      <c r="E104" s="513" t="e">
        <f>+'MAR 24'!#REF!</f>
        <v>#REF!</v>
      </c>
      <c r="F104" s="23" t="s">
        <v>66</v>
      </c>
      <c r="G104" s="22"/>
      <c r="H104" s="24" t="e">
        <f>+'MAR 24'!#REF!</f>
        <v>#REF!</v>
      </c>
    </row>
    <row r="105" spans="2:8" hidden="1">
      <c r="B105" s="23" t="s">
        <v>108</v>
      </c>
      <c r="C105" s="22"/>
      <c r="D105" s="37"/>
      <c r="E105" s="513" t="e">
        <f>+'MAR 24'!#REF!</f>
        <v>#REF!</v>
      </c>
      <c r="F105" s="23" t="s">
        <v>37</v>
      </c>
      <c r="G105" s="22"/>
      <c r="H105" s="24">
        <v>0</v>
      </c>
    </row>
    <row r="106" spans="2:8" hidden="1">
      <c r="B106" s="23"/>
      <c r="C106" s="22"/>
      <c r="D106" s="37"/>
      <c r="E106" s="513"/>
      <c r="F106" s="23"/>
      <c r="G106" s="22"/>
      <c r="H106" s="24"/>
    </row>
    <row r="107" spans="2:8" hidden="1">
      <c r="B107" s="23"/>
      <c r="C107" s="22"/>
      <c r="D107" s="37"/>
      <c r="E107" s="513"/>
      <c r="F107" s="23"/>
      <c r="G107" s="22"/>
      <c r="H107" s="24"/>
    </row>
    <row r="108" spans="2:8" hidden="1">
      <c r="B108" s="23"/>
      <c r="C108" s="22"/>
      <c r="D108" s="37"/>
      <c r="E108" s="513"/>
      <c r="F108" s="23"/>
      <c r="G108" s="22"/>
      <c r="H108" s="24"/>
    </row>
    <row r="109" spans="2:8" hidden="1">
      <c r="B109" s="23"/>
      <c r="C109" s="22"/>
      <c r="D109" s="37"/>
      <c r="E109" s="513"/>
      <c r="F109" s="23"/>
      <c r="G109" s="22"/>
      <c r="H109" s="24"/>
    </row>
    <row r="110" spans="2:8" hidden="1">
      <c r="B110" s="25" t="s">
        <v>0</v>
      </c>
      <c r="C110" s="26"/>
      <c r="D110" s="38"/>
      <c r="E110" s="517" t="e">
        <f>SUM(E98:E109)</f>
        <v>#REF!</v>
      </c>
      <c r="F110" s="25"/>
      <c r="G110" s="26"/>
      <c r="H110" s="27" t="e">
        <f>SUM(H98:H109)</f>
        <v>#REF!</v>
      </c>
    </row>
    <row r="111" spans="2:8" hidden="1">
      <c r="B111" s="25" t="s">
        <v>60</v>
      </c>
      <c r="C111" s="26"/>
      <c r="D111" s="38"/>
      <c r="E111" s="516" t="e">
        <f>+E110-H110</f>
        <v>#REF!</v>
      </c>
      <c r="F111" s="26"/>
      <c r="G111" s="26"/>
      <c r="H111" s="27"/>
    </row>
    <row r="112" spans="2:8" hidden="1"/>
    <row r="113" spans="2:8" hidden="1"/>
    <row r="114" spans="2:8" hidden="1"/>
    <row r="115" spans="2:8" hidden="1"/>
    <row r="117" spans="2:8">
      <c r="C117" t="s">
        <v>46</v>
      </c>
    </row>
    <row r="118" spans="2:8">
      <c r="C118" t="s">
        <v>50</v>
      </c>
    </row>
    <row r="120" spans="2:8">
      <c r="B120" t="s">
        <v>62</v>
      </c>
      <c r="D120" s="17" t="s">
        <v>39</v>
      </c>
      <c r="G120" t="s">
        <v>47</v>
      </c>
      <c r="H120" s="21">
        <f>+H91</f>
        <v>45352</v>
      </c>
    </row>
    <row r="121" spans="2:8">
      <c r="B121" t="s">
        <v>61</v>
      </c>
      <c r="D121" s="39" t="s">
        <v>272</v>
      </c>
    </row>
    <row r="122" spans="2:8">
      <c r="B122" t="s">
        <v>53</v>
      </c>
      <c r="D122" s="17">
        <f>+[2]BAdvice!C14</f>
        <v>10012644110</v>
      </c>
      <c r="G122" t="s">
        <v>54</v>
      </c>
    </row>
    <row r="123" spans="2:8">
      <c r="B123" t="s">
        <v>52</v>
      </c>
      <c r="D123" s="17" t="str">
        <f>+D94</f>
        <v>PN-7656</v>
      </c>
      <c r="G123" t="s">
        <v>63</v>
      </c>
    </row>
    <row r="125" spans="2:8">
      <c r="B125" s="609" t="s">
        <v>65</v>
      </c>
      <c r="C125" s="610"/>
      <c r="D125" s="610"/>
      <c r="E125" s="611"/>
      <c r="F125" s="609" t="s">
        <v>55</v>
      </c>
      <c r="G125" s="610"/>
      <c r="H125" s="611"/>
    </row>
    <row r="126" spans="2:8">
      <c r="B126" s="23"/>
      <c r="C126" s="22"/>
      <c r="D126" s="37"/>
      <c r="E126" s="513"/>
      <c r="F126" s="23"/>
      <c r="G126" s="22"/>
      <c r="H126" s="24"/>
    </row>
    <row r="127" spans="2:8">
      <c r="B127" s="23" t="s">
        <v>56</v>
      </c>
      <c r="C127" s="22"/>
      <c r="D127" s="37"/>
      <c r="E127" s="513">
        <f>+'MAR 24'!C9</f>
        <v>105600</v>
      </c>
      <c r="F127" s="23" t="s">
        <v>11</v>
      </c>
      <c r="G127" s="22"/>
      <c r="H127" s="24">
        <f>+'MAR 24'!O9</f>
        <v>18501.12</v>
      </c>
    </row>
    <row r="128" spans="2:8">
      <c r="B128" s="23" t="s">
        <v>276</v>
      </c>
      <c r="C128" s="22"/>
      <c r="D128" s="37"/>
      <c r="E128" s="526" t="str">
        <f>+'MAR 24'!D9</f>
        <v>11/16</v>
      </c>
      <c r="F128" t="s">
        <v>48</v>
      </c>
      <c r="G128" s="22"/>
      <c r="H128" s="24">
        <f>+'MAR 24'!P9</f>
        <v>15000</v>
      </c>
    </row>
    <row r="129" spans="2:15">
      <c r="B129" s="23" t="s">
        <v>8</v>
      </c>
      <c r="C129" s="22"/>
      <c r="D129" s="37"/>
      <c r="E129" s="514">
        <f>+'MAR 24'!H9</f>
        <v>48576</v>
      </c>
      <c r="F129" s="23" t="s">
        <v>18</v>
      </c>
      <c r="G129" s="22"/>
      <c r="H129" s="24">
        <f>+'MAR 24'!Q9</f>
        <v>60</v>
      </c>
    </row>
    <row r="130" spans="2:15">
      <c r="B130" s="23" t="s">
        <v>9</v>
      </c>
      <c r="C130" s="22"/>
      <c r="D130" s="37"/>
      <c r="E130" s="513">
        <f>+'MAR 24'!I9</f>
        <v>0</v>
      </c>
      <c r="F130" s="23" t="s">
        <v>13</v>
      </c>
      <c r="G130" s="22"/>
      <c r="H130" s="24">
        <f>+'MAR 24'!R9</f>
        <v>110</v>
      </c>
    </row>
    <row r="131" spans="2:15">
      <c r="B131" s="23" t="s">
        <v>59</v>
      </c>
      <c r="C131" s="22"/>
      <c r="D131" s="37"/>
      <c r="E131" s="513">
        <f>+'MAR 24'!J9</f>
        <v>1000</v>
      </c>
      <c r="F131" s="23" t="s">
        <v>58</v>
      </c>
      <c r="G131" s="22"/>
      <c r="H131" s="24">
        <f>+'MAR 24'!U9</f>
        <v>412</v>
      </c>
    </row>
    <row r="132" spans="2:15">
      <c r="B132" s="23" t="s">
        <v>290</v>
      </c>
      <c r="C132" s="22"/>
      <c r="D132" s="37"/>
      <c r="E132" s="513">
        <f>+'MAR 24'!K9</f>
        <v>5256</v>
      </c>
      <c r="F132" s="23" t="s">
        <v>67</v>
      </c>
      <c r="G132" s="22"/>
      <c r="H132" s="24">
        <f>+'MAR 24'!V9</f>
        <v>0</v>
      </c>
    </row>
    <row r="133" spans="2:15">
      <c r="B133" s="23" t="s">
        <v>107</v>
      </c>
      <c r="C133" s="22"/>
      <c r="D133" s="37"/>
      <c r="E133" s="513">
        <f>+'MAR 24'!L9</f>
        <v>0</v>
      </c>
      <c r="F133" s="23" t="s">
        <v>66</v>
      </c>
      <c r="G133" s="22"/>
      <c r="H133" s="24">
        <f>+'MAR 24'!W9</f>
        <v>0</v>
      </c>
    </row>
    <row r="134" spans="2:15">
      <c r="B134" s="23" t="s">
        <v>108</v>
      </c>
      <c r="C134" s="22"/>
      <c r="D134" s="37"/>
      <c r="E134" s="513">
        <f>+'MAR 24'!M9</f>
        <v>0</v>
      </c>
      <c r="F134" s="23" t="s">
        <v>37</v>
      </c>
      <c r="G134" s="22"/>
      <c r="H134" s="35">
        <f>+'MAR 24'!S9</f>
        <v>0</v>
      </c>
    </row>
    <row r="135" spans="2:15">
      <c r="B135" s="23" t="s">
        <v>117</v>
      </c>
      <c r="C135" s="22"/>
      <c r="D135" s="37"/>
      <c r="E135" s="513">
        <f>+'MAR 24'!F9</f>
        <v>0</v>
      </c>
      <c r="F135" s="23"/>
      <c r="G135" s="22"/>
      <c r="H135" s="24"/>
    </row>
    <row r="136" spans="2:15">
      <c r="B136" s="23"/>
      <c r="C136" s="22"/>
      <c r="D136" s="37"/>
      <c r="E136" s="513"/>
      <c r="F136" s="23"/>
      <c r="G136" s="22"/>
      <c r="H136" s="24"/>
    </row>
    <row r="137" spans="2:15">
      <c r="B137" s="23"/>
      <c r="C137" s="22"/>
      <c r="D137" s="37"/>
      <c r="E137" s="513"/>
      <c r="F137" s="23"/>
      <c r="G137" s="22"/>
      <c r="H137" s="24"/>
    </row>
    <row r="138" spans="2:15">
      <c r="B138" s="23"/>
      <c r="C138" s="22"/>
      <c r="D138" s="37"/>
      <c r="E138" s="513"/>
      <c r="F138" s="23"/>
      <c r="G138" s="22"/>
      <c r="H138" s="24"/>
    </row>
    <row r="139" spans="2:15">
      <c r="B139" s="25" t="s">
        <v>0</v>
      </c>
      <c r="C139" s="26"/>
      <c r="D139" s="38"/>
      <c r="E139" s="517">
        <f>SUM(E127:E138)</f>
        <v>160432</v>
      </c>
      <c r="F139" s="25"/>
      <c r="G139" s="26"/>
      <c r="H139" s="36">
        <f>SUM(H127:H138)</f>
        <v>34083.119999999995</v>
      </c>
    </row>
    <row r="140" spans="2:15">
      <c r="B140" s="25" t="s">
        <v>60</v>
      </c>
      <c r="C140" s="26"/>
      <c r="D140" s="38"/>
      <c r="E140" s="516">
        <f>+E139-H139</f>
        <v>126348.88</v>
      </c>
      <c r="F140" s="26"/>
      <c r="G140" s="26"/>
      <c r="H140" s="27"/>
    </row>
    <row r="143" spans="2:15" hidden="1"/>
    <row r="144" spans="2:15" hidden="1">
      <c r="N144" s="29"/>
      <c r="O144" s="31"/>
    </row>
    <row r="145" spans="2:21" hidden="1">
      <c r="N145" s="29"/>
      <c r="O145" s="105"/>
      <c r="P145" s="106"/>
      <c r="Q145" s="106"/>
      <c r="R145" s="106"/>
      <c r="S145" s="106"/>
      <c r="T145" s="106"/>
      <c r="U145" s="106"/>
    </row>
    <row r="146" spans="2:21" hidden="1">
      <c r="C146" t="s">
        <v>46</v>
      </c>
      <c r="N146" s="29"/>
      <c r="O146" s="105"/>
      <c r="P146" s="106"/>
      <c r="Q146" s="106"/>
      <c r="R146" s="106"/>
      <c r="S146" s="106"/>
      <c r="T146" s="106"/>
      <c r="U146" s="106"/>
    </row>
    <row r="147" spans="2:21" hidden="1">
      <c r="C147" t="s">
        <v>50</v>
      </c>
      <c r="N147" s="29"/>
      <c r="O147" s="107"/>
      <c r="P147" s="106"/>
      <c r="Q147" s="106"/>
      <c r="R147" s="106"/>
      <c r="S147" s="106"/>
      <c r="T147" s="106"/>
      <c r="U147" s="106"/>
    </row>
    <row r="148" spans="2:21" hidden="1">
      <c r="N148" s="29"/>
      <c r="O148" s="105"/>
      <c r="P148" s="106"/>
      <c r="Q148" s="106"/>
      <c r="R148" s="106"/>
      <c r="S148" s="106"/>
      <c r="T148" s="106"/>
      <c r="U148" s="109"/>
    </row>
    <row r="149" spans="2:21" hidden="1">
      <c r="B149" t="s">
        <v>62</v>
      </c>
      <c r="D149" s="17">
        <f>+'MAR 24'!B10</f>
        <v>0</v>
      </c>
      <c r="G149" t="s">
        <v>47</v>
      </c>
      <c r="H149" s="21">
        <f>+H120</f>
        <v>45352</v>
      </c>
      <c r="N149" s="29"/>
      <c r="O149" s="105"/>
      <c r="P149" s="106"/>
      <c r="Q149" s="108"/>
      <c r="R149" s="106"/>
      <c r="S149" s="106"/>
      <c r="T149" s="106"/>
      <c r="U149" s="106"/>
    </row>
    <row r="150" spans="2:21" hidden="1">
      <c r="B150" t="s">
        <v>61</v>
      </c>
      <c r="D150" s="39" t="s">
        <v>120</v>
      </c>
      <c r="N150" s="29"/>
      <c r="O150" s="105"/>
      <c r="P150" s="106"/>
      <c r="Q150" s="106"/>
      <c r="R150" s="106"/>
      <c r="S150" s="106"/>
      <c r="T150" s="106"/>
      <c r="U150" s="106"/>
    </row>
    <row r="151" spans="2:21" hidden="1">
      <c r="B151" t="s">
        <v>53</v>
      </c>
      <c r="D151" s="17" t="e">
        <f>+[2]BAdvice!#REF!</f>
        <v>#REF!</v>
      </c>
      <c r="G151" t="s">
        <v>54</v>
      </c>
      <c r="N151" s="29"/>
      <c r="O151" s="105"/>
      <c r="P151" s="106"/>
      <c r="Q151" s="106"/>
      <c r="R151" s="106"/>
      <c r="S151" s="106"/>
      <c r="T151" s="106"/>
      <c r="U151" s="106"/>
    </row>
    <row r="152" spans="2:21" hidden="1">
      <c r="B152" t="s">
        <v>52</v>
      </c>
      <c r="D152" s="17" t="str">
        <f>+D123</f>
        <v>PN-7656</v>
      </c>
      <c r="G152" t="s">
        <v>63</v>
      </c>
      <c r="O152" s="106"/>
      <c r="P152" s="106"/>
      <c r="Q152" s="106"/>
      <c r="R152" s="106"/>
      <c r="S152" s="106"/>
      <c r="T152" s="106"/>
      <c r="U152" s="106"/>
    </row>
    <row r="153" spans="2:21" hidden="1">
      <c r="O153" s="106"/>
      <c r="P153" s="106"/>
      <c r="Q153" s="106"/>
      <c r="R153" s="106"/>
      <c r="S153" s="106"/>
      <c r="T153" s="106"/>
      <c r="U153" s="106"/>
    </row>
    <row r="154" spans="2:21" hidden="1">
      <c r="B154" s="609" t="s">
        <v>65</v>
      </c>
      <c r="C154" s="610"/>
      <c r="D154" s="610"/>
      <c r="E154" s="611"/>
      <c r="F154" s="609" t="s">
        <v>55</v>
      </c>
      <c r="G154" s="610"/>
      <c r="H154" s="611"/>
      <c r="O154" s="106"/>
      <c r="P154" s="106"/>
      <c r="Q154" s="106"/>
      <c r="R154" s="106"/>
      <c r="S154" s="106"/>
      <c r="T154" s="106"/>
      <c r="U154" s="106"/>
    </row>
    <row r="155" spans="2:21" hidden="1">
      <c r="B155" s="23"/>
      <c r="C155" s="22"/>
      <c r="D155" s="37"/>
      <c r="E155" s="513"/>
      <c r="F155" s="23"/>
      <c r="G155" s="22"/>
      <c r="H155" s="24"/>
      <c r="O155" s="106"/>
      <c r="P155" s="106"/>
      <c r="Q155" s="106"/>
      <c r="R155" s="106"/>
      <c r="S155" s="106"/>
      <c r="T155" s="106"/>
      <c r="U155" s="106"/>
    </row>
    <row r="156" spans="2:21" hidden="1">
      <c r="B156" s="23" t="s">
        <v>56</v>
      </c>
      <c r="C156" s="22"/>
      <c r="D156" s="37"/>
      <c r="E156" s="513">
        <f>+'MAR 24'!C10</f>
        <v>0</v>
      </c>
      <c r="F156" s="23" t="s">
        <v>11</v>
      </c>
      <c r="G156" s="22"/>
      <c r="H156" s="24">
        <f>+'MAR 24'!O10</f>
        <v>0</v>
      </c>
      <c r="O156" s="106"/>
      <c r="P156" s="106"/>
      <c r="Q156" s="106"/>
      <c r="R156" s="106"/>
      <c r="S156" s="106"/>
      <c r="T156" s="106"/>
      <c r="U156" s="106"/>
    </row>
    <row r="157" spans="2:21" hidden="1">
      <c r="B157" s="23" t="s">
        <v>276</v>
      </c>
      <c r="C157" s="22"/>
      <c r="D157" s="37"/>
      <c r="E157" s="513">
        <f>+'MAR 24'!D10</f>
        <v>0</v>
      </c>
      <c r="F157" t="s">
        <v>48</v>
      </c>
      <c r="G157" s="22"/>
      <c r="H157" s="24">
        <f>+'MAR 24'!P10</f>
        <v>0</v>
      </c>
      <c r="O157" s="106"/>
      <c r="P157" s="106"/>
      <c r="Q157" s="106"/>
      <c r="R157" s="110"/>
      <c r="S157" s="106"/>
      <c r="T157" s="106"/>
      <c r="U157" s="106"/>
    </row>
    <row r="158" spans="2:21" hidden="1">
      <c r="B158" s="23" t="s">
        <v>8</v>
      </c>
      <c r="C158" s="22"/>
      <c r="D158" s="37"/>
      <c r="E158" s="514">
        <f>+'MAR 24'!H10</f>
        <v>0</v>
      </c>
      <c r="F158" s="23" t="s">
        <v>18</v>
      </c>
      <c r="G158" s="22"/>
      <c r="H158" s="24">
        <f>+'MAR 24'!Q10</f>
        <v>0</v>
      </c>
      <c r="O158" s="106"/>
      <c r="P158" s="106"/>
      <c r="Q158" s="106"/>
      <c r="R158" s="106"/>
      <c r="S158" s="106"/>
      <c r="T158" s="106"/>
      <c r="U158" s="106"/>
    </row>
    <row r="159" spans="2:21" hidden="1">
      <c r="B159" s="23" t="s">
        <v>9</v>
      </c>
      <c r="C159" s="22"/>
      <c r="D159" s="37"/>
      <c r="E159" s="514">
        <f>+'MAR 24'!I10</f>
        <v>0</v>
      </c>
      <c r="F159" s="23" t="s">
        <v>13</v>
      </c>
      <c r="G159" s="22"/>
      <c r="H159" s="24">
        <f>+'MAR 24'!R10</f>
        <v>110</v>
      </c>
      <c r="O159" s="106"/>
      <c r="P159" s="106"/>
      <c r="Q159" s="106"/>
      <c r="R159" s="106"/>
      <c r="S159" s="106"/>
      <c r="T159" s="106"/>
      <c r="U159" s="106"/>
    </row>
    <row r="160" spans="2:21" hidden="1">
      <c r="B160" s="23" t="s">
        <v>59</v>
      </c>
      <c r="C160" s="22"/>
      <c r="D160" s="37"/>
      <c r="E160" s="513">
        <f>+'MAR 24'!J10</f>
        <v>0</v>
      </c>
      <c r="F160" s="23" t="s">
        <v>58</v>
      </c>
      <c r="G160" s="22"/>
      <c r="H160" s="24">
        <f>+'MAR 24'!U10</f>
        <v>0</v>
      </c>
      <c r="O160" s="106"/>
      <c r="P160" s="106"/>
      <c r="Q160" s="106"/>
      <c r="R160" s="106"/>
      <c r="S160" s="106"/>
      <c r="T160" s="106"/>
      <c r="U160" s="106"/>
    </row>
    <row r="161" spans="2:21" hidden="1">
      <c r="B161" s="23" t="s">
        <v>290</v>
      </c>
      <c r="C161" s="22"/>
      <c r="D161" s="37"/>
      <c r="E161" s="513">
        <f>+'MAR 24'!K10</f>
        <v>0</v>
      </c>
      <c r="F161" s="23" t="s">
        <v>67</v>
      </c>
      <c r="G161" s="22"/>
      <c r="H161" s="24">
        <f>+'MAR 24'!V10</f>
        <v>0</v>
      </c>
      <c r="O161" s="106"/>
      <c r="P161" s="106"/>
      <c r="Q161" s="106"/>
      <c r="R161" s="106"/>
      <c r="S161" s="106"/>
      <c r="T161" s="106"/>
      <c r="U161" s="106"/>
    </row>
    <row r="162" spans="2:21" hidden="1">
      <c r="B162" s="23" t="s">
        <v>108</v>
      </c>
      <c r="C162" s="40"/>
      <c r="D162" s="37"/>
      <c r="E162" s="513">
        <f>+'MAR 24'!L10</f>
        <v>0</v>
      </c>
      <c r="F162" s="23" t="s">
        <v>66</v>
      </c>
      <c r="G162" s="22"/>
      <c r="H162" s="24">
        <f>+'MAR 24'!W10</f>
        <v>0</v>
      </c>
      <c r="O162" s="106"/>
      <c r="P162" s="106"/>
      <c r="Q162" s="106"/>
      <c r="R162" s="110"/>
      <c r="S162" s="106"/>
      <c r="T162" s="106"/>
      <c r="U162" s="110"/>
    </row>
    <row r="163" spans="2:21" hidden="1">
      <c r="B163" s="23" t="s">
        <v>117</v>
      </c>
      <c r="C163" s="40"/>
      <c r="D163" s="37"/>
      <c r="E163" s="514">
        <f>+'MAR 24'!F10-1</f>
        <v>-1</v>
      </c>
      <c r="F163" s="23" t="s">
        <v>37</v>
      </c>
      <c r="G163" s="22"/>
      <c r="H163" s="35">
        <f>+'MAR 24'!S10</f>
        <v>0</v>
      </c>
      <c r="O163" s="106"/>
      <c r="P163" s="106"/>
      <c r="Q163" s="106"/>
      <c r="R163" s="106"/>
      <c r="S163" s="106"/>
      <c r="T163" s="106"/>
      <c r="U163" s="106"/>
    </row>
    <row r="164" spans="2:21" hidden="1">
      <c r="B164" s="23"/>
      <c r="C164" s="22"/>
      <c r="D164" s="37"/>
      <c r="E164" s="513"/>
      <c r="F164" s="23"/>
      <c r="G164" s="22"/>
      <c r="H164" s="24"/>
      <c r="O164" s="106"/>
      <c r="P164" s="106"/>
      <c r="Q164" s="106"/>
      <c r="R164" s="106"/>
      <c r="S164" s="106"/>
      <c r="T164" s="106"/>
      <c r="U164" s="106"/>
    </row>
    <row r="165" spans="2:21" hidden="1">
      <c r="B165" s="23"/>
      <c r="C165" s="22"/>
      <c r="D165" s="37"/>
      <c r="E165" s="513"/>
      <c r="F165" s="23"/>
      <c r="G165" s="22"/>
      <c r="H165" s="24"/>
      <c r="O165" s="106"/>
      <c r="P165" s="106"/>
      <c r="Q165" s="106"/>
      <c r="R165" s="106"/>
      <c r="S165" s="106"/>
      <c r="T165" s="106"/>
      <c r="U165" s="106"/>
    </row>
    <row r="166" spans="2:21" hidden="1">
      <c r="B166" s="23"/>
      <c r="C166" s="22"/>
      <c r="D166" s="37"/>
      <c r="E166" s="513"/>
      <c r="F166" s="23"/>
      <c r="G166" s="22"/>
      <c r="H166" s="24"/>
      <c r="O166" s="106"/>
      <c r="P166" s="106"/>
      <c r="Q166" s="106"/>
      <c r="R166" s="106"/>
      <c r="S166" s="106"/>
      <c r="T166" s="106"/>
      <c r="U166" s="106"/>
    </row>
    <row r="167" spans="2:21" hidden="1">
      <c r="B167" s="23"/>
      <c r="C167" s="22"/>
      <c r="D167" s="37"/>
      <c r="E167" s="513"/>
      <c r="F167" s="23"/>
      <c r="G167" s="22"/>
      <c r="H167" s="24"/>
      <c r="O167" s="106"/>
      <c r="P167" s="106"/>
      <c r="Q167" s="106"/>
      <c r="R167" s="110"/>
      <c r="S167" s="106"/>
      <c r="T167" s="106"/>
      <c r="U167" s="110"/>
    </row>
    <row r="168" spans="2:21" hidden="1">
      <c r="B168" s="25" t="s">
        <v>0</v>
      </c>
      <c r="C168" s="26"/>
      <c r="D168" s="38"/>
      <c r="E168" s="517">
        <f>SUM(E156:E167)+1</f>
        <v>0</v>
      </c>
      <c r="F168" s="25"/>
      <c r="G168" s="26"/>
      <c r="H168" s="36">
        <f>SUM(H156:H167)</f>
        <v>110</v>
      </c>
      <c r="O168" s="106"/>
      <c r="P168" s="106"/>
      <c r="Q168" s="106"/>
      <c r="R168" s="110"/>
      <c r="S168" s="106"/>
      <c r="T168" s="106"/>
      <c r="U168" s="106"/>
    </row>
    <row r="169" spans="2:21" hidden="1">
      <c r="B169" s="25" t="s">
        <v>60</v>
      </c>
      <c r="C169" s="26"/>
      <c r="D169" s="38"/>
      <c r="E169" s="516">
        <f>+E168-H168</f>
        <v>-110</v>
      </c>
      <c r="F169" s="26"/>
      <c r="G169" s="26"/>
      <c r="H169" s="27"/>
      <c r="O169" s="106"/>
      <c r="P169" s="106"/>
      <c r="Q169" s="106"/>
      <c r="R169" s="106"/>
      <c r="S169" s="106"/>
      <c r="T169" s="106"/>
      <c r="U169" s="106"/>
    </row>
    <row r="170" spans="2:21" hidden="1">
      <c r="O170" s="106"/>
      <c r="P170" s="106"/>
      <c r="Q170" s="106"/>
      <c r="R170" s="106"/>
      <c r="S170" s="106"/>
      <c r="T170" s="106"/>
      <c r="U170" s="106"/>
    </row>
    <row r="171" spans="2:21" hidden="1">
      <c r="O171" s="106"/>
      <c r="P171" s="106"/>
      <c r="Q171" s="106"/>
      <c r="R171" s="106"/>
      <c r="S171" s="106"/>
      <c r="T171" s="106"/>
      <c r="U171" s="106"/>
    </row>
    <row r="172" spans="2:21" hidden="1">
      <c r="O172" s="106"/>
      <c r="P172" s="106"/>
      <c r="Q172" s="106"/>
      <c r="R172" s="106"/>
      <c r="S172" s="106"/>
      <c r="T172" s="106"/>
      <c r="U172" s="106"/>
    </row>
    <row r="173" spans="2:21">
      <c r="O173" s="106"/>
      <c r="P173" s="106"/>
      <c r="Q173" s="106"/>
      <c r="R173" s="106"/>
      <c r="S173" s="106"/>
      <c r="T173" s="106"/>
      <c r="U173" s="106"/>
    </row>
    <row r="174" spans="2:21" hidden="1">
      <c r="C174" t="s">
        <v>46</v>
      </c>
      <c r="O174" s="106"/>
      <c r="P174" s="106"/>
      <c r="Q174" s="106"/>
      <c r="R174" s="106"/>
      <c r="S174" s="106"/>
      <c r="T174" s="106"/>
      <c r="U174" s="106"/>
    </row>
    <row r="175" spans="2:21" hidden="1">
      <c r="C175" t="s">
        <v>50</v>
      </c>
      <c r="O175" s="106"/>
      <c r="P175" s="106"/>
      <c r="Q175" s="106"/>
      <c r="R175" s="106"/>
      <c r="S175" s="106"/>
      <c r="T175" s="106"/>
      <c r="U175" s="106"/>
    </row>
    <row r="176" spans="2:21" hidden="1">
      <c r="O176" s="106"/>
      <c r="P176" s="106"/>
      <c r="Q176" s="106"/>
      <c r="R176" s="106"/>
      <c r="S176" s="106"/>
      <c r="T176" s="106"/>
      <c r="U176" s="106"/>
    </row>
    <row r="177" spans="2:21" hidden="1">
      <c r="B177" t="s">
        <v>62</v>
      </c>
      <c r="D177" s="17" t="e">
        <f>+'MAR 24'!#REF!</f>
        <v>#REF!</v>
      </c>
      <c r="G177" t="s">
        <v>47</v>
      </c>
      <c r="H177" s="21">
        <f>+H149</f>
        <v>45352</v>
      </c>
      <c r="O177" s="106"/>
      <c r="P177" s="106"/>
      <c r="Q177" s="106"/>
      <c r="R177" s="106"/>
      <c r="S177" s="106"/>
      <c r="T177" s="106"/>
      <c r="U177" s="106"/>
    </row>
    <row r="178" spans="2:21" hidden="1">
      <c r="B178" t="s">
        <v>61</v>
      </c>
      <c r="D178" s="34" t="s">
        <v>113</v>
      </c>
      <c r="O178" s="106"/>
      <c r="P178" s="106"/>
      <c r="Q178" s="106"/>
      <c r="R178" s="106"/>
      <c r="S178" s="106"/>
      <c r="T178" s="106"/>
      <c r="U178" s="106"/>
    </row>
    <row r="179" spans="2:21" hidden="1">
      <c r="B179" t="s">
        <v>53</v>
      </c>
      <c r="D179" s="17" t="e">
        <f>+[2]BAdvice!#REF!</f>
        <v>#REF!</v>
      </c>
      <c r="G179" t="s">
        <v>54</v>
      </c>
      <c r="O179" s="106"/>
      <c r="P179" s="106"/>
      <c r="Q179" s="106"/>
      <c r="R179" s="106"/>
      <c r="S179" s="106"/>
      <c r="T179" s="106"/>
      <c r="U179" s="106"/>
    </row>
    <row r="180" spans="2:21" hidden="1">
      <c r="B180" t="s">
        <v>52</v>
      </c>
      <c r="D180" s="17" t="str">
        <f>+D152</f>
        <v>PN-7656</v>
      </c>
      <c r="G180" t="s">
        <v>63</v>
      </c>
      <c r="O180" s="106"/>
      <c r="P180" s="106"/>
      <c r="Q180" s="106"/>
      <c r="R180" s="106"/>
      <c r="S180" s="106"/>
      <c r="T180" s="106"/>
      <c r="U180" s="106"/>
    </row>
    <row r="181" spans="2:21" hidden="1">
      <c r="O181" s="106"/>
      <c r="P181" s="106"/>
      <c r="Q181" s="106"/>
      <c r="R181" s="106"/>
      <c r="S181" s="106"/>
      <c r="T181" s="106"/>
      <c r="U181" s="106"/>
    </row>
    <row r="182" spans="2:21" hidden="1">
      <c r="B182" s="609" t="s">
        <v>65</v>
      </c>
      <c r="C182" s="610"/>
      <c r="D182" s="610"/>
      <c r="E182" s="611"/>
      <c r="F182" s="609" t="s">
        <v>55</v>
      </c>
      <c r="G182" s="610"/>
      <c r="H182" s="611"/>
      <c r="O182" s="106"/>
      <c r="P182" s="106"/>
      <c r="Q182" s="106"/>
      <c r="R182" s="106"/>
      <c r="S182" s="106"/>
      <c r="T182" s="106"/>
      <c r="U182" s="106"/>
    </row>
    <row r="183" spans="2:21" hidden="1">
      <c r="B183" s="23"/>
      <c r="C183" s="22"/>
      <c r="D183" s="37"/>
      <c r="E183" s="513"/>
      <c r="F183" s="23"/>
      <c r="G183" s="22"/>
      <c r="H183" s="24"/>
      <c r="O183" s="106"/>
      <c r="P183" s="106"/>
      <c r="Q183" s="106"/>
      <c r="R183" s="106"/>
      <c r="S183" s="106"/>
      <c r="T183" s="106"/>
      <c r="U183" s="106"/>
    </row>
    <row r="184" spans="2:21" hidden="1">
      <c r="B184" s="23" t="s">
        <v>56</v>
      </c>
      <c r="C184" s="22"/>
      <c r="D184" s="37"/>
      <c r="E184" s="514" t="e">
        <f>+'MAR 24'!#REF!</f>
        <v>#REF!</v>
      </c>
      <c r="F184" s="84" t="s">
        <v>11</v>
      </c>
      <c r="G184" s="85"/>
      <c r="H184" s="35" t="e">
        <f>+'MAR 24'!#REF!</f>
        <v>#REF!</v>
      </c>
      <c r="O184" s="106"/>
      <c r="P184" s="106"/>
      <c r="Q184" s="106"/>
      <c r="R184" s="106"/>
      <c r="S184" s="106"/>
      <c r="T184" s="106"/>
      <c r="U184" s="106"/>
    </row>
    <row r="185" spans="2:21" hidden="1">
      <c r="B185" s="23" t="s">
        <v>276</v>
      </c>
      <c r="C185" s="22"/>
      <c r="D185" s="37"/>
      <c r="E185" s="514" t="e">
        <f>+'MAR 24'!#REF!</f>
        <v>#REF!</v>
      </c>
      <c r="F185" s="83" t="s">
        <v>48</v>
      </c>
      <c r="G185" s="85"/>
      <c r="H185" s="35" t="e">
        <f>+'MAR 24'!#REF!</f>
        <v>#REF!</v>
      </c>
      <c r="O185" s="106"/>
      <c r="P185" s="106"/>
      <c r="Q185" s="106"/>
      <c r="R185" s="106"/>
      <c r="S185" s="106"/>
      <c r="T185" s="106"/>
      <c r="U185" s="106"/>
    </row>
    <row r="186" spans="2:21" hidden="1">
      <c r="B186" s="23" t="s">
        <v>8</v>
      </c>
      <c r="C186" s="22"/>
      <c r="D186" s="37"/>
      <c r="E186" s="514" t="e">
        <f>+'MAR 24'!#REF!</f>
        <v>#REF!</v>
      </c>
      <c r="F186" s="84" t="s">
        <v>18</v>
      </c>
      <c r="G186" s="85"/>
      <c r="H186" s="35" t="e">
        <f>+'MAR 24'!#REF!</f>
        <v>#REF!</v>
      </c>
      <c r="O186" s="106"/>
      <c r="P186" s="106"/>
      <c r="Q186" s="106"/>
      <c r="R186" s="106"/>
      <c r="S186" s="106"/>
      <c r="T186" s="106"/>
      <c r="U186" s="106"/>
    </row>
    <row r="187" spans="2:21" hidden="1">
      <c r="B187" s="23" t="s">
        <v>9</v>
      </c>
      <c r="C187" s="22"/>
      <c r="D187" s="37"/>
      <c r="E187" s="514" t="e">
        <f>+'MAR 24'!#REF!</f>
        <v>#REF!</v>
      </c>
      <c r="F187" s="84" t="s">
        <v>13</v>
      </c>
      <c r="G187" s="85"/>
      <c r="H187" s="35" t="e">
        <f>+'MAR 24'!#REF!</f>
        <v>#REF!</v>
      </c>
      <c r="O187" s="106"/>
      <c r="P187" s="106"/>
      <c r="Q187" s="106"/>
      <c r="R187" s="106"/>
      <c r="S187" s="106"/>
      <c r="T187" s="106"/>
      <c r="U187" s="106"/>
    </row>
    <row r="188" spans="2:21" hidden="1">
      <c r="B188" s="23" t="s">
        <v>59</v>
      </c>
      <c r="C188" s="22"/>
      <c r="D188" s="37"/>
      <c r="E188" s="514" t="e">
        <f>+'MAR 24'!#REF!</f>
        <v>#REF!</v>
      </c>
      <c r="F188" s="84" t="s">
        <v>58</v>
      </c>
      <c r="G188" s="85"/>
      <c r="H188" s="35" t="e">
        <f>+'MAR 24'!#REF!</f>
        <v>#REF!</v>
      </c>
      <c r="O188" s="106"/>
      <c r="P188" s="106"/>
      <c r="Q188" s="106"/>
      <c r="R188" s="106"/>
      <c r="S188" s="106"/>
      <c r="T188" s="106"/>
      <c r="U188" s="106"/>
    </row>
    <row r="189" spans="2:21" hidden="1">
      <c r="B189" s="23" t="s">
        <v>290</v>
      </c>
      <c r="C189" s="22"/>
      <c r="D189" s="37"/>
      <c r="E189" s="514" t="e">
        <f>+'MAR 24'!#REF!</f>
        <v>#REF!</v>
      </c>
      <c r="F189" s="84" t="s">
        <v>67</v>
      </c>
      <c r="G189" s="85"/>
      <c r="H189" s="35" t="e">
        <f>+'MAR 24'!#REF!</f>
        <v>#REF!</v>
      </c>
      <c r="O189" s="106"/>
      <c r="P189" s="106"/>
      <c r="Q189" s="106"/>
      <c r="R189" s="106"/>
      <c r="S189" s="106"/>
      <c r="T189" s="106"/>
      <c r="U189" s="106"/>
    </row>
    <row r="190" spans="2:21" hidden="1">
      <c r="B190" s="23" t="s">
        <v>107</v>
      </c>
      <c r="C190" s="22"/>
      <c r="D190" s="37"/>
      <c r="E190" s="514" t="e">
        <f>+'MAR 24'!#REF!</f>
        <v>#REF!</v>
      </c>
      <c r="F190" s="84" t="s">
        <v>66</v>
      </c>
      <c r="G190" s="85"/>
      <c r="H190" s="35" t="e">
        <f>+'MAR 24'!#REF!</f>
        <v>#REF!</v>
      </c>
      <c r="O190" s="106"/>
      <c r="P190" s="106"/>
      <c r="Q190" s="106"/>
      <c r="R190" s="106"/>
      <c r="S190" s="106"/>
      <c r="T190" s="106"/>
      <c r="U190" s="106"/>
    </row>
    <row r="191" spans="2:21" hidden="1">
      <c r="B191" s="23" t="s">
        <v>108</v>
      </c>
      <c r="C191" s="22"/>
      <c r="D191" s="37"/>
      <c r="E191" s="514" t="e">
        <f>+'MAR 24'!#REF!</f>
        <v>#REF!</v>
      </c>
      <c r="F191" s="84" t="s">
        <v>37</v>
      </c>
      <c r="G191" s="85"/>
      <c r="H191" s="35" t="e">
        <f>+'MAR 24'!#REF!</f>
        <v>#REF!</v>
      </c>
      <c r="O191" s="106"/>
      <c r="P191" s="106"/>
      <c r="Q191" s="106"/>
      <c r="R191" s="106"/>
      <c r="S191" s="106"/>
      <c r="T191" s="106"/>
      <c r="U191" s="106"/>
    </row>
    <row r="192" spans="2:21" hidden="1">
      <c r="B192" s="23"/>
      <c r="C192" s="22"/>
      <c r="D192" s="37"/>
      <c r="E192" s="514"/>
      <c r="F192" s="84"/>
      <c r="G192" s="85"/>
      <c r="H192" s="35"/>
      <c r="O192" s="106"/>
      <c r="P192" s="106"/>
      <c r="Q192" s="106"/>
      <c r="R192" s="106"/>
      <c r="S192" s="106"/>
      <c r="T192" s="106"/>
      <c r="U192" s="106"/>
    </row>
    <row r="193" spans="2:21" hidden="1">
      <c r="B193" s="23"/>
      <c r="C193" s="22"/>
      <c r="D193" s="37"/>
      <c r="E193" s="514"/>
      <c r="F193" s="84"/>
      <c r="G193" s="85"/>
      <c r="H193" s="35"/>
      <c r="O193" s="106"/>
      <c r="P193" s="106"/>
      <c r="Q193" s="106"/>
      <c r="R193" s="106"/>
      <c r="S193" s="106"/>
      <c r="T193" s="106"/>
      <c r="U193" s="106"/>
    </row>
    <row r="194" spans="2:21" hidden="1">
      <c r="B194" s="23"/>
      <c r="C194" s="22"/>
      <c r="D194" s="37"/>
      <c r="E194" s="513"/>
      <c r="F194" s="23"/>
      <c r="G194" s="22"/>
      <c r="H194" s="24"/>
      <c r="O194" s="106"/>
      <c r="P194" s="106"/>
      <c r="Q194" s="106"/>
      <c r="R194" s="106"/>
      <c r="S194" s="106"/>
      <c r="T194" s="106"/>
      <c r="U194" s="106"/>
    </row>
    <row r="195" spans="2:21" hidden="1">
      <c r="B195" s="23"/>
      <c r="C195" s="22"/>
      <c r="D195" s="37"/>
      <c r="E195" s="513"/>
      <c r="F195" s="23"/>
      <c r="G195" s="22"/>
      <c r="H195" s="24"/>
      <c r="O195" s="106"/>
      <c r="P195" s="106"/>
      <c r="Q195" s="106"/>
      <c r="R195" s="106"/>
      <c r="S195" s="106"/>
      <c r="T195" s="106"/>
      <c r="U195" s="106"/>
    </row>
    <row r="196" spans="2:21" hidden="1">
      <c r="B196" s="25" t="s">
        <v>0</v>
      </c>
      <c r="C196" s="26"/>
      <c r="D196" s="38"/>
      <c r="E196" s="517" t="e">
        <f>SUM(E184:E195)</f>
        <v>#REF!</v>
      </c>
      <c r="F196" s="25"/>
      <c r="G196" s="26"/>
      <c r="H196" s="36" t="e">
        <f>SUM(H184:H195)</f>
        <v>#REF!</v>
      </c>
      <c r="O196" s="106"/>
      <c r="P196" s="106"/>
      <c r="Q196" s="106"/>
      <c r="R196" s="106"/>
      <c r="S196" s="106"/>
      <c r="T196" s="106"/>
      <c r="U196" s="106"/>
    </row>
    <row r="197" spans="2:21" hidden="1">
      <c r="B197" s="25" t="s">
        <v>60</v>
      </c>
      <c r="C197" s="26"/>
      <c r="D197" s="38"/>
      <c r="E197" s="516" t="e">
        <f>+E196-H196</f>
        <v>#REF!</v>
      </c>
      <c r="F197" s="26"/>
      <c r="G197" s="26"/>
      <c r="H197" s="27"/>
      <c r="O197" s="106"/>
      <c r="P197" s="106"/>
      <c r="Q197" s="106"/>
      <c r="R197" s="106"/>
      <c r="S197" s="106"/>
      <c r="T197" s="106"/>
      <c r="U197" s="106"/>
    </row>
    <row r="198" spans="2:21" hidden="1">
      <c r="O198" s="106"/>
      <c r="P198" s="106"/>
      <c r="Q198" s="106"/>
      <c r="R198" s="106"/>
      <c r="S198" s="106"/>
      <c r="T198" s="106"/>
      <c r="U198" s="106"/>
    </row>
    <row r="199" spans="2:21" hidden="1">
      <c r="O199" s="106"/>
      <c r="P199" s="106"/>
      <c r="Q199" s="106"/>
      <c r="R199" s="106"/>
      <c r="S199" s="106"/>
      <c r="T199" s="106"/>
      <c r="U199" s="106"/>
    </row>
    <row r="200" spans="2:21" hidden="1">
      <c r="O200" s="106"/>
      <c r="P200" s="106"/>
      <c r="Q200" s="106"/>
      <c r="R200" s="106"/>
      <c r="S200" s="106"/>
      <c r="T200" s="106"/>
      <c r="U200" s="106"/>
    </row>
    <row r="201" spans="2:21" hidden="1">
      <c r="O201" s="106"/>
      <c r="P201" s="106"/>
      <c r="Q201" s="106"/>
      <c r="R201" s="106"/>
      <c r="S201" s="106"/>
      <c r="T201" s="106"/>
      <c r="U201" s="106"/>
    </row>
    <row r="202" spans="2:21">
      <c r="C202" t="s">
        <v>46</v>
      </c>
      <c r="O202" s="106"/>
      <c r="P202" s="106"/>
      <c r="Q202" s="106"/>
      <c r="R202" s="106"/>
      <c r="S202" s="106"/>
      <c r="T202" s="106"/>
      <c r="U202" s="106"/>
    </row>
    <row r="203" spans="2:21">
      <c r="C203" t="s">
        <v>50</v>
      </c>
      <c r="O203" s="106"/>
      <c r="P203" s="106"/>
      <c r="Q203" s="106"/>
      <c r="R203" s="106"/>
      <c r="S203" s="106"/>
      <c r="T203" s="106"/>
      <c r="U203" s="106"/>
    </row>
    <row r="204" spans="2:21">
      <c r="O204" s="106"/>
      <c r="P204" s="106"/>
      <c r="Q204" s="106"/>
      <c r="R204" s="106"/>
      <c r="S204" s="106"/>
      <c r="T204" s="106"/>
      <c r="U204" s="109"/>
    </row>
    <row r="205" spans="2:21">
      <c r="B205" t="s">
        <v>62</v>
      </c>
      <c r="D205" s="17" t="str">
        <f>+'MAR 24'!B11</f>
        <v>J.P KANT</v>
      </c>
      <c r="G205" t="s">
        <v>47</v>
      </c>
      <c r="H205" s="21">
        <f>+H149</f>
        <v>45352</v>
      </c>
      <c r="O205" s="106"/>
      <c r="P205" s="106"/>
      <c r="Q205" s="108"/>
      <c r="R205" s="106"/>
      <c r="S205" s="106"/>
      <c r="T205" s="106"/>
      <c r="U205" s="106"/>
    </row>
    <row r="206" spans="2:21">
      <c r="B206" t="s">
        <v>61</v>
      </c>
      <c r="D206" s="39" t="s">
        <v>272</v>
      </c>
      <c r="O206" s="106"/>
      <c r="P206" s="106"/>
      <c r="Q206" s="106"/>
      <c r="R206" s="106"/>
      <c r="S206" s="106"/>
      <c r="T206" s="106"/>
      <c r="U206" s="106"/>
    </row>
    <row r="207" spans="2:21">
      <c r="B207" t="s">
        <v>53</v>
      </c>
      <c r="D207" s="17">
        <f>+[2]BAdvice!C15</f>
        <v>20004235521</v>
      </c>
      <c r="G207" t="s">
        <v>54</v>
      </c>
      <c r="O207" s="106"/>
      <c r="P207" s="106"/>
      <c r="Q207" s="106"/>
      <c r="R207" s="106"/>
      <c r="S207" s="106"/>
      <c r="T207" s="106"/>
      <c r="U207" s="106"/>
    </row>
    <row r="208" spans="2:21">
      <c r="B208" t="s">
        <v>52</v>
      </c>
      <c r="D208" s="17" t="str">
        <f>+D180</f>
        <v>PN-7656</v>
      </c>
      <c r="G208" t="s">
        <v>63</v>
      </c>
      <c r="O208" s="106"/>
      <c r="P208" s="106"/>
      <c r="Q208" s="106"/>
      <c r="R208" s="106"/>
      <c r="S208" s="106"/>
      <c r="T208" s="106"/>
      <c r="U208" s="106"/>
    </row>
    <row r="209" spans="2:21">
      <c r="O209" s="106"/>
      <c r="P209" s="106"/>
      <c r="Q209" s="106"/>
      <c r="R209" s="106"/>
      <c r="S209" s="106"/>
      <c r="T209" s="106"/>
      <c r="U209" s="106"/>
    </row>
    <row r="210" spans="2:21">
      <c r="B210" s="609" t="s">
        <v>65</v>
      </c>
      <c r="C210" s="610"/>
      <c r="D210" s="610"/>
      <c r="E210" s="611"/>
      <c r="F210" s="609" t="s">
        <v>55</v>
      </c>
      <c r="G210" s="610"/>
      <c r="H210" s="611"/>
      <c r="O210" s="106"/>
      <c r="P210" s="106"/>
      <c r="Q210" s="106"/>
      <c r="R210" s="106"/>
      <c r="S210" s="106"/>
      <c r="T210" s="106"/>
      <c r="U210" s="106"/>
    </row>
    <row r="211" spans="2:21">
      <c r="B211" s="23"/>
      <c r="C211" s="22"/>
      <c r="D211" s="37"/>
      <c r="E211" s="513"/>
      <c r="F211" s="23"/>
      <c r="G211" s="22"/>
      <c r="H211" s="24"/>
      <c r="O211" s="106"/>
      <c r="P211" s="106"/>
      <c r="Q211" s="106"/>
      <c r="R211" s="106"/>
      <c r="S211" s="106"/>
      <c r="T211" s="106"/>
      <c r="U211" s="106"/>
    </row>
    <row r="212" spans="2:21">
      <c r="B212" s="23" t="s">
        <v>56</v>
      </c>
      <c r="C212" s="22"/>
      <c r="D212" s="37"/>
      <c r="E212" s="513">
        <f>+'MAR 24'!C11</f>
        <v>84900</v>
      </c>
      <c r="F212" s="23" t="s">
        <v>11</v>
      </c>
      <c r="G212" s="22"/>
      <c r="H212" s="24">
        <f>+'MAR 24'!O11</f>
        <v>14874.48</v>
      </c>
      <c r="O212" s="106"/>
      <c r="P212" s="106"/>
      <c r="Q212" s="106"/>
      <c r="R212" s="106"/>
      <c r="S212" s="106"/>
      <c r="T212" s="106"/>
      <c r="U212" s="106"/>
    </row>
    <row r="213" spans="2:21">
      <c r="B213" s="23" t="s">
        <v>276</v>
      </c>
      <c r="C213" s="22"/>
      <c r="D213" s="37"/>
      <c r="E213" s="526" t="str">
        <f>+'MAR 24'!D11</f>
        <v>10/15</v>
      </c>
      <c r="F213" t="s">
        <v>48</v>
      </c>
      <c r="G213" s="22"/>
      <c r="H213" s="24">
        <f>+'MAR 24'!P11</f>
        <v>10000</v>
      </c>
      <c r="O213" s="106"/>
      <c r="P213" s="106"/>
      <c r="Q213" s="106"/>
      <c r="R213" s="110"/>
      <c r="S213" s="106"/>
      <c r="T213" s="106"/>
      <c r="U213" s="106"/>
    </row>
    <row r="214" spans="2:21">
      <c r="B214" s="23" t="s">
        <v>8</v>
      </c>
      <c r="C214" s="22"/>
      <c r="D214" s="37"/>
      <c r="E214" s="514">
        <f>+'MAR 24'!H11-1</f>
        <v>39053</v>
      </c>
      <c r="F214" s="23" t="s">
        <v>18</v>
      </c>
      <c r="G214" s="22"/>
      <c r="H214" s="24">
        <f>+'MAR 24'!Q11</f>
        <v>60</v>
      </c>
      <c r="O214" s="106"/>
      <c r="P214" s="106"/>
      <c r="Q214" s="106"/>
      <c r="R214" s="106"/>
      <c r="S214" s="106"/>
      <c r="T214" s="106"/>
      <c r="U214" s="106"/>
    </row>
    <row r="215" spans="2:21">
      <c r="B215" s="23" t="s">
        <v>9</v>
      </c>
      <c r="C215" s="22"/>
      <c r="D215" s="37"/>
      <c r="E215" s="513">
        <f>+'MAR 24'!I11</f>
        <v>0</v>
      </c>
      <c r="F215" s="23" t="s">
        <v>13</v>
      </c>
      <c r="G215" s="22"/>
      <c r="H215" s="24">
        <f>+'MAR 24'!R11</f>
        <v>110</v>
      </c>
      <c r="O215" s="106"/>
      <c r="P215" s="106"/>
      <c r="Q215" s="106"/>
      <c r="R215" s="106"/>
      <c r="S215" s="106"/>
      <c r="T215" s="106"/>
      <c r="U215" s="106"/>
    </row>
    <row r="216" spans="2:21">
      <c r="B216" s="23" t="s">
        <v>59</v>
      </c>
      <c r="C216" s="22"/>
      <c r="D216" s="37"/>
      <c r="E216" s="513">
        <f>+'MAR 24'!J11</f>
        <v>1000</v>
      </c>
      <c r="F216" s="23" t="s">
        <v>58</v>
      </c>
      <c r="G216" s="22"/>
      <c r="H216" s="24">
        <f>+'MAR 24'!U11</f>
        <v>412</v>
      </c>
      <c r="O216" s="106"/>
      <c r="P216" s="106"/>
      <c r="Q216" s="106"/>
      <c r="R216" s="106"/>
      <c r="S216" s="106"/>
      <c r="T216" s="106"/>
      <c r="U216" s="106"/>
    </row>
    <row r="217" spans="2:21">
      <c r="B217" s="23" t="s">
        <v>290</v>
      </c>
      <c r="C217" s="22"/>
      <c r="D217" s="37"/>
      <c r="E217" s="513">
        <f>+'MAR 24'!K11</f>
        <v>5256</v>
      </c>
      <c r="F217" s="23" t="s">
        <v>67</v>
      </c>
      <c r="G217" s="22"/>
      <c r="H217" s="24">
        <f>+'MAR 24'!V11</f>
        <v>0</v>
      </c>
      <c r="O217" s="106"/>
      <c r="P217" s="106"/>
      <c r="Q217" s="106"/>
      <c r="R217" s="106"/>
      <c r="S217" s="106"/>
      <c r="T217" s="106"/>
      <c r="U217" s="106"/>
    </row>
    <row r="218" spans="2:21">
      <c r="B218" s="23" t="s">
        <v>107</v>
      </c>
      <c r="C218" s="22"/>
      <c r="D218" s="37"/>
      <c r="E218" s="513">
        <f>+'MAR 24'!L11</f>
        <v>0</v>
      </c>
      <c r="F218" s="23" t="s">
        <v>66</v>
      </c>
      <c r="G218" s="22"/>
      <c r="H218" s="24">
        <f>+'MAR 24'!W11</f>
        <v>0</v>
      </c>
      <c r="O218" s="106"/>
      <c r="P218" s="106"/>
      <c r="Q218" s="106"/>
      <c r="R218" s="110"/>
      <c r="S218" s="106"/>
      <c r="T218" s="106"/>
      <c r="U218" s="110"/>
    </row>
    <row r="219" spans="2:21">
      <c r="B219" s="23" t="s">
        <v>108</v>
      </c>
      <c r="C219" s="22"/>
      <c r="D219" s="37"/>
      <c r="E219" s="513">
        <f>+'MAR 24'!M11</f>
        <v>0</v>
      </c>
      <c r="F219" s="23" t="s">
        <v>37</v>
      </c>
      <c r="G219" s="22"/>
      <c r="H219" s="35">
        <f>+'MAR 24'!S11</f>
        <v>0</v>
      </c>
      <c r="O219" s="106"/>
      <c r="P219" s="106"/>
      <c r="Q219" s="106"/>
      <c r="R219" s="106"/>
      <c r="S219" s="106"/>
      <c r="T219" s="106"/>
      <c r="U219" s="106"/>
    </row>
    <row r="220" spans="2:21">
      <c r="B220" s="23" t="s">
        <v>117</v>
      </c>
      <c r="C220" s="22"/>
      <c r="D220" s="37"/>
      <c r="E220" s="514">
        <f>+'MAR 24'!F11</f>
        <v>0</v>
      </c>
      <c r="F220" s="23"/>
      <c r="G220" s="22"/>
      <c r="H220" s="24"/>
      <c r="O220" s="106"/>
      <c r="P220" s="106"/>
      <c r="Q220" s="106"/>
      <c r="R220" s="106"/>
      <c r="S220" s="106"/>
      <c r="T220" s="106"/>
      <c r="U220" s="106"/>
    </row>
    <row r="221" spans="2:21">
      <c r="B221" s="23"/>
      <c r="C221" s="22"/>
      <c r="D221" s="37"/>
      <c r="E221" s="513"/>
      <c r="F221" s="23"/>
      <c r="G221" s="22"/>
      <c r="H221" s="24"/>
      <c r="O221" s="106"/>
      <c r="P221" s="106"/>
      <c r="Q221" s="106"/>
      <c r="R221" s="106"/>
      <c r="S221" s="106"/>
      <c r="T221" s="106"/>
      <c r="U221" s="106"/>
    </row>
    <row r="222" spans="2:21">
      <c r="B222" s="23"/>
      <c r="C222" s="22"/>
      <c r="D222" s="37"/>
      <c r="E222" s="513"/>
      <c r="F222" s="23"/>
      <c r="G222" s="22"/>
      <c r="H222" s="24"/>
      <c r="O222" s="106"/>
      <c r="P222" s="106"/>
      <c r="Q222" s="106"/>
      <c r="R222" s="106"/>
      <c r="S222" s="106"/>
      <c r="T222" s="106"/>
      <c r="U222" s="106"/>
    </row>
    <row r="223" spans="2:21">
      <c r="B223" s="23"/>
      <c r="C223" s="22"/>
      <c r="D223" s="37"/>
      <c r="E223" s="513"/>
      <c r="F223" s="23"/>
      <c r="G223" s="22"/>
      <c r="H223" s="24"/>
      <c r="O223" s="106"/>
      <c r="P223" s="106"/>
      <c r="Q223" s="106"/>
      <c r="R223" s="110"/>
      <c r="S223" s="106"/>
      <c r="T223" s="106"/>
      <c r="U223" s="110"/>
    </row>
    <row r="224" spans="2:21">
      <c r="B224" s="25" t="s">
        <v>0</v>
      </c>
      <c r="C224" s="26"/>
      <c r="D224" s="38"/>
      <c r="E224" s="517">
        <f>SUM(E212:E223)+1</f>
        <v>130210</v>
      </c>
      <c r="F224" s="25"/>
      <c r="G224" s="26"/>
      <c r="H224" s="36">
        <f>SUM(H212:H223)</f>
        <v>25456.48</v>
      </c>
      <c r="O224" s="106"/>
      <c r="P224" s="106"/>
      <c r="Q224" s="106"/>
      <c r="R224" s="110"/>
      <c r="S224" s="106"/>
      <c r="T224" s="106"/>
      <c r="U224" s="106"/>
    </row>
    <row r="225" spans="2:21">
      <c r="B225" s="25" t="s">
        <v>60</v>
      </c>
      <c r="C225" s="26"/>
      <c r="D225" s="38"/>
      <c r="E225" s="516">
        <f>+E224-H224</f>
        <v>104753.52</v>
      </c>
      <c r="F225" s="26"/>
      <c r="G225" s="26"/>
      <c r="H225" s="27"/>
      <c r="O225" s="106"/>
      <c r="P225" s="106"/>
      <c r="Q225" s="106"/>
      <c r="R225" s="106"/>
      <c r="S225" s="106"/>
      <c r="T225" s="106"/>
      <c r="U225" s="106"/>
    </row>
    <row r="226" spans="2:21">
      <c r="O226" s="106"/>
      <c r="P226" s="106"/>
      <c r="Q226" s="106"/>
      <c r="R226" s="106"/>
      <c r="S226" s="106"/>
      <c r="T226" s="106"/>
      <c r="U226" s="106"/>
    </row>
    <row r="227" spans="2:21">
      <c r="O227" s="106"/>
      <c r="P227" s="106"/>
      <c r="Q227" s="106"/>
      <c r="R227" s="106"/>
      <c r="S227" s="106"/>
      <c r="T227" s="106"/>
      <c r="U227" s="106"/>
    </row>
    <row r="228" spans="2:21">
      <c r="O228" s="106"/>
      <c r="P228" s="106"/>
      <c r="Q228" s="106"/>
      <c r="R228" s="106"/>
      <c r="S228" s="106"/>
      <c r="T228" s="106"/>
      <c r="U228" s="106"/>
    </row>
    <row r="229" spans="2:21">
      <c r="O229" s="106"/>
      <c r="P229" s="106"/>
      <c r="Q229" s="106"/>
      <c r="R229" s="106"/>
      <c r="S229" s="106"/>
      <c r="T229" s="106"/>
      <c r="U229" s="106"/>
    </row>
    <row r="230" spans="2:21">
      <c r="C230" t="s">
        <v>46</v>
      </c>
      <c r="O230" s="106"/>
      <c r="P230" s="106"/>
      <c r="Q230" s="106"/>
      <c r="R230" s="106"/>
      <c r="S230" s="106"/>
      <c r="T230" s="106"/>
      <c r="U230" s="106"/>
    </row>
    <row r="231" spans="2:21">
      <c r="C231" t="s">
        <v>50</v>
      </c>
      <c r="O231" s="106"/>
      <c r="P231" s="106"/>
      <c r="Q231" s="106"/>
      <c r="R231" s="106"/>
      <c r="S231" s="106"/>
      <c r="T231" s="106"/>
      <c r="U231" s="106"/>
    </row>
    <row r="232" spans="2:21">
      <c r="O232" s="106"/>
      <c r="P232" s="106"/>
      <c r="Q232" s="106"/>
      <c r="R232" s="106"/>
      <c r="S232" s="106"/>
      <c r="T232" s="106"/>
      <c r="U232" s="109"/>
    </row>
    <row r="233" spans="2:21">
      <c r="B233" t="s">
        <v>62</v>
      </c>
      <c r="D233" s="17" t="str">
        <f>+'MAR 24'!B13</f>
        <v>Rajesh sharma</v>
      </c>
      <c r="G233" t="s">
        <v>47</v>
      </c>
      <c r="H233" s="21">
        <f>+H177</f>
        <v>45352</v>
      </c>
      <c r="O233" s="106"/>
      <c r="P233" s="106"/>
      <c r="Q233" s="108"/>
      <c r="R233" s="106"/>
      <c r="S233" s="106"/>
      <c r="T233" s="106"/>
      <c r="U233" s="106"/>
    </row>
    <row r="234" spans="2:21">
      <c r="B234" t="s">
        <v>61</v>
      </c>
      <c r="D234" s="39" t="s">
        <v>132</v>
      </c>
      <c r="O234" s="106"/>
      <c r="P234" s="106"/>
      <c r="Q234" s="106"/>
      <c r="R234" s="106"/>
      <c r="S234" s="106"/>
      <c r="T234" s="106"/>
      <c r="U234" s="106"/>
    </row>
    <row r="235" spans="2:21">
      <c r="B235" t="s">
        <v>53</v>
      </c>
      <c r="D235" s="17">
        <f>+[2]BAdvice!C16</f>
        <v>10012667228</v>
      </c>
      <c r="G235" t="s">
        <v>54</v>
      </c>
      <c r="O235" s="106"/>
      <c r="P235" s="106"/>
      <c r="Q235" s="106"/>
      <c r="R235" s="106"/>
      <c r="S235" s="106"/>
      <c r="T235" s="106"/>
      <c r="U235" s="106"/>
    </row>
    <row r="236" spans="2:21">
      <c r="B236" t="s">
        <v>52</v>
      </c>
      <c r="D236" s="17" t="str">
        <f>+D208</f>
        <v>PN-7656</v>
      </c>
      <c r="G236" t="s">
        <v>63</v>
      </c>
      <c r="O236" s="106"/>
      <c r="P236" s="106"/>
      <c r="Q236" s="106"/>
      <c r="R236" s="106"/>
      <c r="S236" s="106"/>
      <c r="T236" s="106"/>
      <c r="U236" s="106"/>
    </row>
    <row r="237" spans="2:21">
      <c r="O237" s="106"/>
      <c r="P237" s="106"/>
      <c r="Q237" s="106"/>
      <c r="R237" s="106"/>
      <c r="S237" s="106"/>
      <c r="T237" s="106"/>
      <c r="U237" s="106"/>
    </row>
    <row r="238" spans="2:21">
      <c r="B238" s="609" t="s">
        <v>65</v>
      </c>
      <c r="C238" s="610"/>
      <c r="D238" s="610"/>
      <c r="E238" s="611"/>
      <c r="F238" s="609" t="s">
        <v>55</v>
      </c>
      <c r="G238" s="610"/>
      <c r="H238" s="611"/>
      <c r="O238" s="106"/>
      <c r="P238" s="106"/>
      <c r="Q238" s="106"/>
      <c r="R238" s="106"/>
      <c r="S238" s="106"/>
      <c r="T238" s="106"/>
      <c r="U238" s="106"/>
    </row>
    <row r="239" spans="2:21">
      <c r="B239" s="23"/>
      <c r="C239" s="22"/>
      <c r="D239" s="37"/>
      <c r="E239" s="513"/>
      <c r="F239" s="23"/>
      <c r="G239" s="22"/>
      <c r="H239" s="24"/>
      <c r="O239" s="106"/>
      <c r="P239" s="106"/>
      <c r="Q239" s="106"/>
      <c r="R239" s="106"/>
      <c r="S239" s="106"/>
      <c r="T239" s="106"/>
      <c r="U239" s="106"/>
    </row>
    <row r="240" spans="2:21">
      <c r="B240" s="23" t="s">
        <v>56</v>
      </c>
      <c r="C240" s="22"/>
      <c r="D240" s="37"/>
      <c r="E240" s="513">
        <f>+'MAR 24'!C13</f>
        <v>114400</v>
      </c>
      <c r="F240" s="23" t="s">
        <v>11</v>
      </c>
      <c r="G240" s="22"/>
      <c r="H240" s="24">
        <f>+'MAR 24'!O13</f>
        <v>20042.88</v>
      </c>
      <c r="O240" s="106"/>
      <c r="P240" s="106"/>
      <c r="Q240" s="106"/>
      <c r="R240" s="106"/>
      <c r="S240" s="106"/>
      <c r="T240" s="106"/>
      <c r="U240" s="106"/>
    </row>
    <row r="241" spans="2:21">
      <c r="B241" s="23" t="s">
        <v>276</v>
      </c>
      <c r="C241" s="22"/>
      <c r="D241" s="37"/>
      <c r="E241" s="526" t="str">
        <f>+'MAR 24'!D13</f>
        <v>9/26</v>
      </c>
      <c r="F241" t="s">
        <v>48</v>
      </c>
      <c r="G241" s="22"/>
      <c r="H241" s="24">
        <f>+'MAR 24'!P13</f>
        <v>42000</v>
      </c>
      <c r="O241" s="106"/>
      <c r="P241" s="106"/>
      <c r="Q241" s="106"/>
      <c r="R241" s="110"/>
      <c r="S241" s="106"/>
      <c r="T241" s="106"/>
      <c r="U241" s="106"/>
    </row>
    <row r="242" spans="2:21">
      <c r="B242" s="23" t="s">
        <v>8</v>
      </c>
      <c r="C242" s="22"/>
      <c r="D242" s="37"/>
      <c r="E242" s="514">
        <f>+'MAR 24'!H13</f>
        <v>52624</v>
      </c>
      <c r="F242" s="23" t="s">
        <v>18</v>
      </c>
      <c r="G242" s="22"/>
      <c r="H242" s="24">
        <f>+'MAR 24'!Q13</f>
        <v>60</v>
      </c>
      <c r="O242" s="106"/>
      <c r="P242" s="106"/>
      <c r="Q242" s="106"/>
      <c r="R242" s="106"/>
      <c r="S242" s="106"/>
      <c r="T242" s="106"/>
      <c r="U242" s="106"/>
    </row>
    <row r="243" spans="2:21">
      <c r="B243" s="23" t="s">
        <v>9</v>
      </c>
      <c r="C243" s="22"/>
      <c r="D243" s="37"/>
      <c r="E243" s="514">
        <f>+'MAR 24'!I13</f>
        <v>20592</v>
      </c>
      <c r="F243" s="23" t="s">
        <v>13</v>
      </c>
      <c r="G243" s="22"/>
      <c r="H243" s="24">
        <f>+'MAR 24'!R13</f>
        <v>110</v>
      </c>
      <c r="O243" s="106"/>
      <c r="P243" s="106"/>
      <c r="Q243" s="106"/>
      <c r="R243" s="106"/>
      <c r="S243" s="106"/>
      <c r="T243" s="106"/>
      <c r="U243" s="106"/>
    </row>
    <row r="244" spans="2:21">
      <c r="B244" s="23" t="s">
        <v>59</v>
      </c>
      <c r="C244" s="22"/>
      <c r="D244" s="37"/>
      <c r="E244" s="513">
        <f>+'MAR 24'!J13</f>
        <v>1000</v>
      </c>
      <c r="F244" s="23" t="s">
        <v>58</v>
      </c>
      <c r="G244" s="22"/>
      <c r="H244" s="24">
        <f>+'MAR 24'!U13</f>
        <v>0</v>
      </c>
      <c r="O244" s="106"/>
      <c r="P244" s="106"/>
      <c r="Q244" s="106"/>
      <c r="R244" s="106"/>
      <c r="S244" s="106"/>
      <c r="T244" s="106"/>
      <c r="U244" s="106"/>
    </row>
    <row r="245" spans="2:21">
      <c r="B245" s="23" t="s">
        <v>290</v>
      </c>
      <c r="C245" s="22"/>
      <c r="D245" s="37"/>
      <c r="E245" s="513">
        <f>+'MAR 24'!K13</f>
        <v>5256</v>
      </c>
      <c r="F245" s="23" t="s">
        <v>67</v>
      </c>
      <c r="G245" s="22"/>
      <c r="H245" s="24">
        <f>+'MAR 24'!V13</f>
        <v>0</v>
      </c>
      <c r="O245" s="106"/>
      <c r="P245" s="106"/>
      <c r="Q245" s="106"/>
      <c r="R245" s="106"/>
      <c r="S245" s="106"/>
      <c r="T245" s="106"/>
      <c r="U245" s="106"/>
    </row>
    <row r="246" spans="2:21">
      <c r="B246" s="23" t="s">
        <v>107</v>
      </c>
      <c r="C246" s="22"/>
      <c r="D246" s="37"/>
      <c r="E246" s="513">
        <f>+'MAR 24'!L13</f>
        <v>0</v>
      </c>
      <c r="F246" s="23" t="s">
        <v>66</v>
      </c>
      <c r="G246" s="22"/>
      <c r="H246" s="24">
        <f>+'MAR 24'!W13</f>
        <v>0</v>
      </c>
      <c r="O246" s="106"/>
      <c r="P246" s="106"/>
      <c r="Q246" s="106"/>
      <c r="R246" s="110"/>
      <c r="S246" s="106"/>
      <c r="T246" s="106"/>
      <c r="U246" s="110"/>
    </row>
    <row r="247" spans="2:21">
      <c r="B247" s="23" t="s">
        <v>108</v>
      </c>
      <c r="C247" s="22"/>
      <c r="D247" s="37"/>
      <c r="E247" s="513">
        <f>+'MAR 24'!M13</f>
        <v>0</v>
      </c>
      <c r="F247" s="23" t="s">
        <v>37</v>
      </c>
      <c r="G247" s="22"/>
      <c r="H247" s="35">
        <f>+'MAR 24'!S13</f>
        <v>0</v>
      </c>
      <c r="O247" s="106"/>
      <c r="P247" s="106"/>
      <c r="Q247" s="106"/>
      <c r="R247" s="106"/>
      <c r="S247" s="106"/>
      <c r="T247" s="106"/>
      <c r="U247" s="106"/>
    </row>
    <row r="248" spans="2:21">
      <c r="B248" s="23" t="s">
        <v>117</v>
      </c>
      <c r="C248" s="22"/>
      <c r="D248" s="37"/>
      <c r="E248" s="514"/>
      <c r="F248" s="23"/>
      <c r="G248" s="22"/>
      <c r="H248" s="24"/>
      <c r="O248" s="106"/>
      <c r="P248" s="106"/>
      <c r="Q248" s="106"/>
      <c r="R248" s="106"/>
      <c r="S248" s="106"/>
      <c r="T248" s="106"/>
      <c r="U248" s="106"/>
    </row>
    <row r="249" spans="2:21">
      <c r="B249" s="23"/>
      <c r="C249" s="22"/>
      <c r="D249" s="37"/>
      <c r="E249" s="513"/>
      <c r="F249" s="23"/>
      <c r="G249" s="22"/>
      <c r="H249" s="24"/>
      <c r="O249" s="106"/>
      <c r="P249" s="106"/>
      <c r="Q249" s="106"/>
      <c r="R249" s="106"/>
      <c r="S249" s="106"/>
      <c r="T249" s="106"/>
      <c r="U249" s="106"/>
    </row>
    <row r="250" spans="2:21">
      <c r="B250" s="23"/>
      <c r="C250" s="22"/>
      <c r="D250" s="37"/>
      <c r="E250" s="513"/>
      <c r="F250" s="23"/>
      <c r="G250" s="22"/>
      <c r="H250" s="24"/>
      <c r="O250" s="106"/>
      <c r="P250" s="106"/>
      <c r="Q250" s="106"/>
      <c r="R250" s="106"/>
      <c r="S250" s="106"/>
      <c r="T250" s="106"/>
      <c r="U250" s="106"/>
    </row>
    <row r="251" spans="2:21">
      <c r="B251" s="23"/>
      <c r="C251" s="22"/>
      <c r="D251" s="37"/>
      <c r="E251" s="513"/>
      <c r="F251" s="23"/>
      <c r="G251" s="22"/>
      <c r="H251" s="24"/>
      <c r="O251" s="106"/>
      <c r="P251" s="106"/>
      <c r="Q251" s="106"/>
      <c r="R251" s="110"/>
      <c r="S251" s="106"/>
      <c r="T251" s="106"/>
      <c r="U251" s="110"/>
    </row>
    <row r="252" spans="2:21">
      <c r="B252" s="25" t="s">
        <v>0</v>
      </c>
      <c r="C252" s="26"/>
      <c r="D252" s="38"/>
      <c r="E252" s="517">
        <f>SUM(E240:E251)</f>
        <v>193872</v>
      </c>
      <c r="F252" s="25"/>
      <c r="G252" s="26"/>
      <c r="H252" s="36">
        <f>SUM(H240:H251)</f>
        <v>62212.880000000005</v>
      </c>
      <c r="O252" s="106"/>
      <c r="P252" s="106"/>
      <c r="Q252" s="106"/>
      <c r="R252" s="110"/>
      <c r="S252" s="106"/>
      <c r="T252" s="106"/>
      <c r="U252" s="106"/>
    </row>
    <row r="253" spans="2:21">
      <c r="B253" s="25" t="s">
        <v>60</v>
      </c>
      <c r="C253" s="26"/>
      <c r="D253" s="38"/>
      <c r="E253" s="516">
        <f>+E252-H252</f>
        <v>131659.12</v>
      </c>
      <c r="F253" s="26"/>
      <c r="G253" s="26"/>
      <c r="H253" s="27"/>
      <c r="O253" s="106"/>
      <c r="P253" s="106"/>
      <c r="Q253" s="106"/>
      <c r="R253" s="106"/>
      <c r="S253" s="106"/>
      <c r="T253" s="106"/>
      <c r="U253" s="106"/>
    </row>
    <row r="254" spans="2:21">
      <c r="O254" s="106"/>
      <c r="P254" s="106"/>
      <c r="Q254" s="106"/>
      <c r="R254" s="106"/>
      <c r="S254" s="106"/>
      <c r="T254" s="106"/>
      <c r="U254" s="106"/>
    </row>
    <row r="257" spans="2:8" hidden="1"/>
    <row r="258" spans="2:8" hidden="1"/>
    <row r="259" spans="2:8" hidden="1"/>
    <row r="260" spans="2:8" hidden="1">
      <c r="C260" t="s">
        <v>46</v>
      </c>
    </row>
    <row r="261" spans="2:8" hidden="1">
      <c r="C261" t="s">
        <v>50</v>
      </c>
    </row>
    <row r="262" spans="2:8" hidden="1"/>
    <row r="263" spans="2:8" hidden="1">
      <c r="B263" t="s">
        <v>62</v>
      </c>
      <c r="D263" s="17" t="e">
        <f>+'MAR 24'!#REF!</f>
        <v>#REF!</v>
      </c>
      <c r="G263" t="s">
        <v>47</v>
      </c>
      <c r="H263" s="21">
        <f>+H233</f>
        <v>45352</v>
      </c>
    </row>
    <row r="264" spans="2:8" hidden="1">
      <c r="B264" t="s">
        <v>61</v>
      </c>
      <c r="D264" s="39" t="s">
        <v>69</v>
      </c>
    </row>
    <row r="265" spans="2:8" hidden="1">
      <c r="B265" t="s">
        <v>53</v>
      </c>
      <c r="D265" s="17" t="e">
        <f>+[2]BAdvice!#REF!</f>
        <v>#REF!</v>
      </c>
      <c r="G265" t="s">
        <v>54</v>
      </c>
    </row>
    <row r="266" spans="2:8" hidden="1">
      <c r="B266" t="s">
        <v>52</v>
      </c>
      <c r="D266" s="17" t="str">
        <f>+D236</f>
        <v>PN-7656</v>
      </c>
      <c r="G266" t="s">
        <v>63</v>
      </c>
    </row>
    <row r="267" spans="2:8" hidden="1"/>
    <row r="268" spans="2:8" hidden="1">
      <c r="B268" s="609" t="s">
        <v>65</v>
      </c>
      <c r="C268" s="610"/>
      <c r="D268" s="610"/>
      <c r="E268" s="611"/>
      <c r="F268" s="609" t="s">
        <v>55</v>
      </c>
      <c r="G268" s="610"/>
      <c r="H268" s="611"/>
    </row>
    <row r="269" spans="2:8" hidden="1">
      <c r="B269" s="23"/>
      <c r="C269" s="22"/>
      <c r="D269" s="37"/>
      <c r="E269" s="513"/>
      <c r="F269" s="23"/>
      <c r="G269" s="22"/>
      <c r="H269" s="24"/>
    </row>
    <row r="270" spans="2:8" hidden="1">
      <c r="B270" s="23" t="s">
        <v>56</v>
      </c>
      <c r="C270" s="22"/>
      <c r="D270" s="37"/>
      <c r="E270" s="513" t="e">
        <f>+'MAR 24'!#REF!</f>
        <v>#REF!</v>
      </c>
      <c r="F270" s="23" t="s">
        <v>11</v>
      </c>
      <c r="G270" s="22"/>
      <c r="H270" s="24" t="e">
        <f>+'MAR 24'!#REF!</f>
        <v>#REF!</v>
      </c>
    </row>
    <row r="271" spans="2:8" hidden="1">
      <c r="B271" s="23" t="s">
        <v>276</v>
      </c>
      <c r="C271" s="22"/>
      <c r="D271" s="37"/>
      <c r="E271" s="513" t="e">
        <f>+'MAR 24'!#REF!</f>
        <v>#REF!</v>
      </c>
      <c r="F271" t="s">
        <v>48</v>
      </c>
      <c r="G271" s="22"/>
      <c r="H271" s="24" t="e">
        <f>+'MAR 24'!#REF!</f>
        <v>#REF!</v>
      </c>
    </row>
    <row r="272" spans="2:8" hidden="1">
      <c r="B272" s="23" t="s">
        <v>8</v>
      </c>
      <c r="C272" s="22"/>
      <c r="D272" s="37"/>
      <c r="E272" s="514" t="e">
        <f>+'MAR 24'!#REF!</f>
        <v>#REF!</v>
      </c>
      <c r="F272" s="23" t="s">
        <v>18</v>
      </c>
      <c r="G272" s="22"/>
      <c r="H272" s="24" t="e">
        <f>+'MAR 24'!#REF!</f>
        <v>#REF!</v>
      </c>
    </row>
    <row r="273" spans="2:8" hidden="1">
      <c r="B273" s="23" t="s">
        <v>9</v>
      </c>
      <c r="C273" s="22"/>
      <c r="D273" s="37"/>
      <c r="E273" s="513" t="e">
        <f>+'MAR 24'!#REF!</f>
        <v>#REF!</v>
      </c>
      <c r="F273" s="23" t="s">
        <v>13</v>
      </c>
      <c r="G273" s="22"/>
      <c r="H273" s="24" t="e">
        <f>+'MAR 24'!#REF!</f>
        <v>#REF!</v>
      </c>
    </row>
    <row r="274" spans="2:8" hidden="1">
      <c r="B274" s="23" t="s">
        <v>59</v>
      </c>
      <c r="C274" s="22"/>
      <c r="D274" s="37"/>
      <c r="E274" s="513" t="e">
        <f>+'MAR 24'!#REF!</f>
        <v>#REF!</v>
      </c>
      <c r="F274" s="23" t="s">
        <v>58</v>
      </c>
      <c r="G274" s="22"/>
      <c r="H274" s="24" t="e">
        <f>+'MAR 24'!#REF!</f>
        <v>#REF!</v>
      </c>
    </row>
    <row r="275" spans="2:8" hidden="1">
      <c r="B275" s="23" t="s">
        <v>290</v>
      </c>
      <c r="C275" s="22"/>
      <c r="D275" s="37"/>
      <c r="E275" s="513" t="e">
        <f>+'MAR 24'!#REF!</f>
        <v>#REF!</v>
      </c>
      <c r="F275" s="52" t="s">
        <v>106</v>
      </c>
      <c r="G275" s="22"/>
      <c r="H275" s="24" t="e">
        <f>+'MAR 24'!#REF!</f>
        <v>#REF!</v>
      </c>
    </row>
    <row r="276" spans="2:8" hidden="1">
      <c r="B276" s="23" t="s">
        <v>107</v>
      </c>
      <c r="C276" s="22"/>
      <c r="D276" s="37"/>
      <c r="E276" s="513" t="e">
        <f>+'MAR 24'!#REF!</f>
        <v>#REF!</v>
      </c>
      <c r="F276" s="23" t="s">
        <v>66</v>
      </c>
      <c r="G276" s="22"/>
      <c r="H276" s="24" t="e">
        <f>+'MAR 24'!#REF!</f>
        <v>#REF!</v>
      </c>
    </row>
    <row r="277" spans="2:8" hidden="1">
      <c r="B277" s="23" t="s">
        <v>108</v>
      </c>
      <c r="C277" s="22"/>
      <c r="D277" s="37"/>
      <c r="E277" s="513" t="e">
        <f>+'MAR 24'!#REF!</f>
        <v>#REF!</v>
      </c>
      <c r="F277" s="23" t="s">
        <v>37</v>
      </c>
      <c r="G277" s="22"/>
      <c r="H277" s="35" t="e">
        <f>+'MAR 24'!#REF!</f>
        <v>#REF!</v>
      </c>
    </row>
    <row r="278" spans="2:8" hidden="1">
      <c r="B278" s="23"/>
      <c r="C278" s="22"/>
      <c r="D278" s="37"/>
      <c r="E278" s="513"/>
      <c r="F278" s="23"/>
      <c r="G278" s="22"/>
      <c r="H278" s="24"/>
    </row>
    <row r="279" spans="2:8" hidden="1">
      <c r="B279" s="23"/>
      <c r="C279" s="22"/>
      <c r="D279" s="37"/>
      <c r="E279" s="513"/>
      <c r="F279" s="23"/>
      <c r="G279" s="22"/>
      <c r="H279" s="24"/>
    </row>
    <row r="280" spans="2:8" hidden="1">
      <c r="B280" s="23"/>
      <c r="C280" s="22"/>
      <c r="D280" s="37"/>
      <c r="E280" s="513"/>
      <c r="F280" s="23"/>
      <c r="G280" s="22"/>
      <c r="H280" s="24"/>
    </row>
    <row r="281" spans="2:8" hidden="1">
      <c r="B281" s="23"/>
      <c r="C281" s="22"/>
      <c r="D281" s="37"/>
      <c r="E281" s="513"/>
      <c r="F281" s="23"/>
      <c r="G281" s="22"/>
      <c r="H281" s="24"/>
    </row>
    <row r="282" spans="2:8" hidden="1">
      <c r="B282" s="25" t="s">
        <v>0</v>
      </c>
      <c r="C282" s="26"/>
      <c r="D282" s="38"/>
      <c r="E282" s="517" t="e">
        <f>SUM(E270:E281)</f>
        <v>#REF!</v>
      </c>
      <c r="F282" s="25"/>
      <c r="G282" s="26"/>
      <c r="H282" s="36" t="e">
        <f>SUM(H270:H281)</f>
        <v>#REF!</v>
      </c>
    </row>
    <row r="283" spans="2:8" hidden="1">
      <c r="B283" s="25" t="s">
        <v>60</v>
      </c>
      <c r="C283" s="26"/>
      <c r="D283" s="38"/>
      <c r="E283" s="516" t="e">
        <f>+E282-H282</f>
        <v>#REF!</v>
      </c>
      <c r="F283" s="26"/>
      <c r="G283" s="26"/>
      <c r="H283" s="27"/>
    </row>
    <row r="284" spans="2:8" hidden="1"/>
    <row r="285" spans="2:8" hidden="1"/>
    <row r="287" spans="2:8" hidden="1">
      <c r="B287" s="45"/>
      <c r="C287" s="45"/>
      <c r="D287" s="46"/>
      <c r="E287" s="518"/>
      <c r="F287" s="45"/>
      <c r="G287" s="45"/>
      <c r="H287" s="45"/>
    </row>
    <row r="288" spans="2:8" hidden="1">
      <c r="B288" s="47"/>
      <c r="C288" s="47" t="s">
        <v>46</v>
      </c>
      <c r="D288" s="48"/>
      <c r="E288" s="519"/>
      <c r="F288" s="47"/>
      <c r="G288" s="47"/>
      <c r="H288" s="47"/>
    </row>
    <row r="289" spans="2:8" hidden="1">
      <c r="B289" s="47"/>
      <c r="C289" s="47" t="s">
        <v>50</v>
      </c>
      <c r="D289" s="48"/>
      <c r="E289" s="519"/>
      <c r="F289" s="47"/>
      <c r="G289" s="47"/>
      <c r="H289" s="47"/>
    </row>
    <row r="290" spans="2:8" hidden="1">
      <c r="B290" s="47"/>
      <c r="C290" s="47"/>
      <c r="D290" s="48"/>
      <c r="E290" s="519"/>
      <c r="F290" s="47"/>
      <c r="G290" s="47"/>
      <c r="H290" s="47"/>
    </row>
    <row r="291" spans="2:8" hidden="1">
      <c r="B291" s="47" t="s">
        <v>62</v>
      </c>
      <c r="C291" s="47"/>
      <c r="D291" s="48">
        <f>+'MAR 24'!B16</f>
        <v>0</v>
      </c>
      <c r="E291" s="519"/>
      <c r="F291" s="49"/>
      <c r="G291" s="47" t="s">
        <v>47</v>
      </c>
      <c r="H291" s="50">
        <f>+H263</f>
        <v>45352</v>
      </c>
    </row>
    <row r="292" spans="2:8" hidden="1">
      <c r="B292" s="47" t="s">
        <v>61</v>
      </c>
      <c r="C292" s="49"/>
      <c r="D292" s="51" t="s">
        <v>121</v>
      </c>
      <c r="E292" s="519"/>
      <c r="F292" s="49"/>
      <c r="G292" s="47"/>
      <c r="H292" s="47"/>
    </row>
    <row r="293" spans="2:8" hidden="1">
      <c r="B293" s="47" t="s">
        <v>53</v>
      </c>
      <c r="C293" s="47"/>
      <c r="D293" s="48" t="e">
        <f>+[2]BAdvice!#REF!</f>
        <v>#REF!</v>
      </c>
      <c r="E293" s="519"/>
      <c r="F293" s="47"/>
      <c r="G293" s="47" t="s">
        <v>54</v>
      </c>
      <c r="H293" s="49"/>
    </row>
    <row r="294" spans="2:8" hidden="1">
      <c r="B294" s="47" t="s">
        <v>52</v>
      </c>
      <c r="C294" s="47"/>
      <c r="D294" s="48" t="str">
        <f>+D266</f>
        <v>PN-7656</v>
      </c>
      <c r="E294" s="519"/>
      <c r="F294" s="47"/>
      <c r="G294" s="47" t="s">
        <v>63</v>
      </c>
      <c r="H294" s="47"/>
    </row>
    <row r="295" spans="2:8" hidden="1">
      <c r="B295" s="47"/>
      <c r="C295" s="47"/>
      <c r="D295" s="48"/>
      <c r="E295" s="519"/>
      <c r="F295" s="47"/>
      <c r="G295" s="47"/>
      <c r="H295" s="47"/>
    </row>
    <row r="296" spans="2:8" hidden="1">
      <c r="B296" s="603" t="s">
        <v>65</v>
      </c>
      <c r="C296" s="604"/>
      <c r="D296" s="604"/>
      <c r="E296" s="605"/>
      <c r="F296" s="603" t="s">
        <v>55</v>
      </c>
      <c r="G296" s="604"/>
      <c r="H296" s="605"/>
    </row>
    <row r="297" spans="2:8" hidden="1">
      <c r="B297" s="52"/>
      <c r="C297" s="53"/>
      <c r="D297" s="54"/>
      <c r="E297" s="520"/>
      <c r="F297" s="52"/>
      <c r="G297" s="53"/>
      <c r="H297" s="55"/>
    </row>
    <row r="298" spans="2:8" hidden="1">
      <c r="B298" s="52" t="s">
        <v>56</v>
      </c>
      <c r="C298" s="53"/>
      <c r="D298" s="54"/>
      <c r="E298" s="520">
        <f>+'MAR 24'!C16</f>
        <v>0</v>
      </c>
      <c r="F298" s="52" t="s">
        <v>11</v>
      </c>
      <c r="G298" s="53"/>
      <c r="H298" s="55">
        <f>+'MAR 24'!O16</f>
        <v>0</v>
      </c>
    </row>
    <row r="299" spans="2:8" hidden="1">
      <c r="B299" s="52" t="s">
        <v>276</v>
      </c>
      <c r="C299" s="53"/>
      <c r="D299" s="54"/>
      <c r="E299" s="520">
        <f>+'MAR 24'!D16</f>
        <v>0</v>
      </c>
      <c r="F299" s="47" t="s">
        <v>48</v>
      </c>
      <c r="G299" s="53"/>
      <c r="H299" s="55">
        <f>+'MAR 24'!P16</f>
        <v>0</v>
      </c>
    </row>
    <row r="300" spans="2:8" hidden="1">
      <c r="B300" s="52" t="s">
        <v>8</v>
      </c>
      <c r="C300" s="53"/>
      <c r="D300" s="54"/>
      <c r="E300" s="521">
        <f>+'MAR 24'!H16</f>
        <v>0</v>
      </c>
      <c r="F300" s="52" t="s">
        <v>18</v>
      </c>
      <c r="G300" s="53"/>
      <c r="H300" s="55">
        <f>+'MAR 24'!Q16</f>
        <v>0</v>
      </c>
    </row>
    <row r="301" spans="2:8" hidden="1">
      <c r="B301" s="52" t="s">
        <v>9</v>
      </c>
      <c r="C301" s="53"/>
      <c r="D301" s="54"/>
      <c r="E301" s="520">
        <f>+'MAR 24'!I16</f>
        <v>0</v>
      </c>
      <c r="F301" s="52" t="s">
        <v>13</v>
      </c>
      <c r="G301" s="53"/>
      <c r="H301" s="55">
        <f>+'MAR 24'!R16</f>
        <v>0</v>
      </c>
    </row>
    <row r="302" spans="2:8" hidden="1">
      <c r="B302" s="52" t="s">
        <v>59</v>
      </c>
      <c r="C302" s="53"/>
      <c r="D302" s="54"/>
      <c r="E302" s="520">
        <f>+'MAR 24'!J16</f>
        <v>0</v>
      </c>
      <c r="F302" s="52" t="s">
        <v>58</v>
      </c>
      <c r="G302" s="53"/>
      <c r="H302" s="55">
        <f>+'MAR 24'!U16</f>
        <v>0</v>
      </c>
    </row>
    <row r="303" spans="2:8" hidden="1">
      <c r="B303" s="52" t="s">
        <v>290</v>
      </c>
      <c r="C303" s="53"/>
      <c r="D303" s="54"/>
      <c r="E303" s="520">
        <f>+'MAR 24'!K16</f>
        <v>0</v>
      </c>
      <c r="F303" s="52" t="s">
        <v>67</v>
      </c>
      <c r="G303" s="53"/>
      <c r="H303" s="55">
        <f>+'MAR 24'!V16</f>
        <v>0</v>
      </c>
    </row>
    <row r="304" spans="2:8" hidden="1">
      <c r="B304" s="23" t="s">
        <v>107</v>
      </c>
      <c r="C304" s="53"/>
      <c r="D304" s="54"/>
      <c r="E304" s="520">
        <f>+'MAR 24'!L16</f>
        <v>300</v>
      </c>
      <c r="F304" s="52" t="s">
        <v>66</v>
      </c>
      <c r="G304" s="53"/>
      <c r="H304" s="55">
        <f>+'MAR 24'!W16</f>
        <v>0</v>
      </c>
    </row>
    <row r="305" spans="2:8" hidden="1">
      <c r="B305" s="23" t="s">
        <v>108</v>
      </c>
      <c r="C305" s="53"/>
      <c r="D305" s="54"/>
      <c r="E305" s="520">
        <f>+'MAR 24'!M16</f>
        <v>0</v>
      </c>
      <c r="F305" s="52" t="s">
        <v>37</v>
      </c>
      <c r="G305" s="53"/>
      <c r="H305" s="55">
        <f>+'MAR 24'!S16</f>
        <v>0</v>
      </c>
    </row>
    <row r="306" spans="2:8" hidden="1">
      <c r="B306" s="23" t="s">
        <v>117</v>
      </c>
      <c r="C306" s="53"/>
      <c r="D306" s="54"/>
      <c r="E306" s="514">
        <f>+'MAR 24'!F16</f>
        <v>0</v>
      </c>
      <c r="F306" s="52"/>
      <c r="G306" s="53"/>
      <c r="H306" s="55"/>
    </row>
    <row r="307" spans="2:8" hidden="1">
      <c r="B307" s="52"/>
      <c r="C307" s="53"/>
      <c r="D307" s="54"/>
      <c r="E307" s="520"/>
      <c r="F307" s="52"/>
      <c r="G307" s="53"/>
      <c r="H307" s="55"/>
    </row>
    <row r="308" spans="2:8" hidden="1">
      <c r="B308" s="52"/>
      <c r="C308" s="53"/>
      <c r="D308" s="54"/>
      <c r="E308" s="520"/>
      <c r="F308" s="52"/>
      <c r="G308" s="53"/>
      <c r="H308" s="55"/>
    </row>
    <row r="309" spans="2:8" hidden="1">
      <c r="B309" s="52"/>
      <c r="C309" s="53"/>
      <c r="D309" s="54"/>
      <c r="E309" s="520"/>
      <c r="F309" s="52"/>
      <c r="G309" s="53"/>
      <c r="H309" s="55"/>
    </row>
    <row r="310" spans="2:8" hidden="1">
      <c r="B310" s="57" t="s">
        <v>0</v>
      </c>
      <c r="C310" s="58"/>
      <c r="D310" s="59"/>
      <c r="E310" s="522">
        <f>SUM(E298:E309)+1</f>
        <v>301</v>
      </c>
      <c r="F310" s="57"/>
      <c r="G310" s="58"/>
      <c r="H310" s="61">
        <f>SUM(H298:H309)</f>
        <v>0</v>
      </c>
    </row>
    <row r="311" spans="2:8" hidden="1">
      <c r="B311" s="57" t="s">
        <v>60</v>
      </c>
      <c r="C311" s="58"/>
      <c r="D311" s="59"/>
      <c r="E311" s="523">
        <f>+E310-H310</f>
        <v>301</v>
      </c>
      <c r="F311" s="58"/>
      <c r="G311" s="58"/>
      <c r="H311" s="61"/>
    </row>
    <row r="312" spans="2:8" hidden="1">
      <c r="B312" s="49"/>
      <c r="C312" s="49"/>
      <c r="D312" s="62"/>
      <c r="E312" s="519"/>
      <c r="F312" s="49"/>
      <c r="G312" s="49"/>
      <c r="H312" s="49"/>
    </row>
    <row r="313" spans="2:8" hidden="1">
      <c r="B313" s="49"/>
      <c r="C313" s="49"/>
      <c r="D313" s="62"/>
      <c r="E313" s="519"/>
      <c r="F313" s="49"/>
      <c r="G313" s="49"/>
      <c r="H313" s="49"/>
    </row>
    <row r="314" spans="2:8">
      <c r="B314" s="47"/>
      <c r="C314" s="47" t="s">
        <v>46</v>
      </c>
      <c r="D314" s="48"/>
      <c r="E314" s="519"/>
      <c r="F314" s="47"/>
      <c r="G314" s="47"/>
      <c r="H314" s="47"/>
    </row>
    <row r="315" spans="2:8">
      <c r="B315" s="47"/>
      <c r="C315" s="47" t="s">
        <v>50</v>
      </c>
      <c r="D315" s="48"/>
      <c r="E315" s="519"/>
      <c r="F315" s="47"/>
      <c r="G315" s="47"/>
      <c r="H315" s="47"/>
    </row>
    <row r="316" spans="2:8">
      <c r="B316" s="47"/>
      <c r="C316" s="47"/>
      <c r="D316" s="48"/>
      <c r="E316" s="519"/>
      <c r="F316" s="47"/>
      <c r="G316" s="47"/>
      <c r="H316" s="47"/>
    </row>
    <row r="317" spans="2:8">
      <c r="B317" s="47" t="s">
        <v>62</v>
      </c>
      <c r="C317" s="47"/>
      <c r="D317" s="48" t="str">
        <f>+'MAR 24'!B17</f>
        <v>Seema Yadav</v>
      </c>
      <c r="E317" s="519"/>
      <c r="F317" s="49"/>
      <c r="G317" s="47" t="s">
        <v>47</v>
      </c>
      <c r="H317" s="50">
        <f>+H291</f>
        <v>45352</v>
      </c>
    </row>
    <row r="318" spans="2:8">
      <c r="B318" s="47" t="s">
        <v>61</v>
      </c>
      <c r="C318" s="49"/>
      <c r="D318" s="51" t="s">
        <v>273</v>
      </c>
      <c r="E318" s="519"/>
      <c r="F318" s="49"/>
      <c r="G318" s="47"/>
      <c r="H318" s="47"/>
    </row>
    <row r="319" spans="2:8">
      <c r="B319" s="47" t="s">
        <v>53</v>
      </c>
      <c r="C319" s="47"/>
      <c r="D319" s="48">
        <f>+[2]BAdvice!C17</f>
        <v>30001550494</v>
      </c>
      <c r="E319" s="519"/>
      <c r="F319" s="47"/>
      <c r="G319" s="47" t="s">
        <v>54</v>
      </c>
      <c r="H319" s="49"/>
    </row>
    <row r="320" spans="2:8">
      <c r="B320" s="47" t="s">
        <v>52</v>
      </c>
      <c r="C320" s="47"/>
      <c r="D320" s="48" t="str">
        <f>+D294</f>
        <v>PN-7656</v>
      </c>
      <c r="E320" s="519"/>
      <c r="F320" s="47"/>
      <c r="G320" s="47" t="s">
        <v>63</v>
      </c>
      <c r="H320" s="47"/>
    </row>
    <row r="321" spans="2:8">
      <c r="B321" s="47"/>
      <c r="C321" s="47"/>
      <c r="D321" s="48"/>
      <c r="E321" s="519"/>
      <c r="F321" s="47"/>
      <c r="G321" s="47"/>
      <c r="H321" s="47"/>
    </row>
    <row r="322" spans="2:8">
      <c r="B322" s="603" t="s">
        <v>65</v>
      </c>
      <c r="C322" s="604"/>
      <c r="D322" s="604"/>
      <c r="E322" s="605"/>
      <c r="F322" s="603" t="s">
        <v>55</v>
      </c>
      <c r="G322" s="604"/>
      <c r="H322" s="605"/>
    </row>
    <row r="323" spans="2:8">
      <c r="B323" s="52"/>
      <c r="C323" s="53"/>
      <c r="D323" s="54"/>
      <c r="E323" s="520"/>
      <c r="F323" s="52"/>
      <c r="G323" s="53"/>
      <c r="H323" s="55"/>
    </row>
    <row r="324" spans="2:8">
      <c r="B324" s="52" t="s">
        <v>56</v>
      </c>
      <c r="C324" s="53"/>
      <c r="D324" s="54"/>
      <c r="E324" s="520">
        <f>+'MAR 24'!C17</f>
        <v>77900</v>
      </c>
      <c r="F324" s="52" t="s">
        <v>11</v>
      </c>
      <c r="G324" s="53"/>
      <c r="H324" s="55">
        <f>+'MAR 24'!O17</f>
        <v>13648.08</v>
      </c>
    </row>
    <row r="325" spans="2:8">
      <c r="B325" s="52" t="s">
        <v>276</v>
      </c>
      <c r="C325" s="53"/>
      <c r="D325" s="54"/>
      <c r="E325" s="527" t="str">
        <f>+'MAR 24'!D17</f>
        <v>9/14</v>
      </c>
      <c r="F325" s="47" t="s">
        <v>48</v>
      </c>
      <c r="G325" s="53"/>
      <c r="H325" s="55">
        <f>+'MAR 24'!P17</f>
        <v>2000</v>
      </c>
    </row>
    <row r="326" spans="2:8">
      <c r="B326" s="52" t="s">
        <v>8</v>
      </c>
      <c r="C326" s="53"/>
      <c r="D326" s="54"/>
      <c r="E326" s="521">
        <f>+'MAR 24'!H17</f>
        <v>35834</v>
      </c>
      <c r="F326" s="52" t="s">
        <v>18</v>
      </c>
      <c r="G326" s="53"/>
      <c r="H326" s="55">
        <f>+'MAR 24'!Q17</f>
        <v>45</v>
      </c>
    </row>
    <row r="327" spans="2:8">
      <c r="B327" s="52" t="s">
        <v>9</v>
      </c>
      <c r="C327" s="53"/>
      <c r="D327" s="54"/>
      <c r="E327" s="520">
        <f>+'MAR 24'!I17</f>
        <v>0</v>
      </c>
      <c r="F327" s="52" t="s">
        <v>13</v>
      </c>
      <c r="G327" s="53"/>
      <c r="H327" s="55">
        <f>+'MAR 24'!R17</f>
        <v>110</v>
      </c>
    </row>
    <row r="328" spans="2:8">
      <c r="B328" s="52" t="s">
        <v>59</v>
      </c>
      <c r="C328" s="53"/>
      <c r="D328" s="54"/>
      <c r="E328" s="520">
        <f>+'MAR 24'!J17</f>
        <v>1000</v>
      </c>
      <c r="F328" s="52" t="s">
        <v>58</v>
      </c>
      <c r="G328" s="53"/>
      <c r="H328" s="55">
        <f>+'MAR 24'!U17</f>
        <v>206</v>
      </c>
    </row>
    <row r="329" spans="2:8">
      <c r="B329" s="52" t="s">
        <v>290</v>
      </c>
      <c r="C329" s="53"/>
      <c r="D329" s="54"/>
      <c r="E329" s="520">
        <f>+'MAR 24'!K17</f>
        <v>5256</v>
      </c>
      <c r="F329" s="52" t="s">
        <v>67</v>
      </c>
      <c r="G329" s="53"/>
      <c r="H329" s="55">
        <f>+'MAR 24'!V17</f>
        <v>0</v>
      </c>
    </row>
    <row r="330" spans="2:8">
      <c r="B330" s="23" t="s">
        <v>107</v>
      </c>
      <c r="C330" s="53"/>
      <c r="D330" s="54"/>
      <c r="E330" s="520">
        <f>+'MAR 24'!L17</f>
        <v>0</v>
      </c>
      <c r="F330" s="52" t="s">
        <v>66</v>
      </c>
      <c r="G330" s="53"/>
      <c r="H330" s="55">
        <f>+'MAR 24'!W17</f>
        <v>0</v>
      </c>
    </row>
    <row r="331" spans="2:8">
      <c r="B331" s="23" t="s">
        <v>108</v>
      </c>
      <c r="C331" s="53"/>
      <c r="D331" s="54"/>
      <c r="E331" s="520">
        <f>+'MAR 24'!M17</f>
        <v>0</v>
      </c>
      <c r="F331" s="52" t="s">
        <v>37</v>
      </c>
      <c r="G331" s="53"/>
      <c r="H331" s="56">
        <f>+'MAR 24'!S17</f>
        <v>0</v>
      </c>
    </row>
    <row r="332" spans="2:8">
      <c r="B332" s="23" t="s">
        <v>117</v>
      </c>
      <c r="C332" s="53"/>
      <c r="D332" s="54"/>
      <c r="E332" s="514">
        <f>+'MAR 24'!F17</f>
        <v>0</v>
      </c>
      <c r="F332" s="52"/>
      <c r="G332" s="53"/>
      <c r="H332" s="55"/>
    </row>
    <row r="333" spans="2:8">
      <c r="B333" s="52"/>
      <c r="C333" s="53"/>
      <c r="D333" s="54"/>
      <c r="E333" s="520"/>
      <c r="F333" s="52"/>
      <c r="G333" s="53"/>
      <c r="H333" s="55"/>
    </row>
    <row r="334" spans="2:8">
      <c r="B334" s="52"/>
      <c r="C334" s="53"/>
      <c r="D334" s="54"/>
      <c r="E334" s="520"/>
      <c r="F334" s="52"/>
      <c r="G334" s="53"/>
      <c r="H334" s="55"/>
    </row>
    <row r="335" spans="2:8">
      <c r="B335" s="52"/>
      <c r="C335" s="53"/>
      <c r="D335" s="54"/>
      <c r="E335" s="520"/>
      <c r="F335" s="52"/>
      <c r="G335" s="53"/>
      <c r="H335" s="55"/>
    </row>
    <row r="336" spans="2:8">
      <c r="B336" s="57" t="s">
        <v>0</v>
      </c>
      <c r="C336" s="58"/>
      <c r="D336" s="59"/>
      <c r="E336" s="522">
        <f>SUM(E324:E335)</f>
        <v>119990</v>
      </c>
      <c r="F336" s="57"/>
      <c r="G336" s="58"/>
      <c r="H336" s="60">
        <f>SUM(H324:H335)</f>
        <v>16009.08</v>
      </c>
    </row>
    <row r="337" spans="2:8">
      <c r="B337" s="57" t="s">
        <v>60</v>
      </c>
      <c r="C337" s="58"/>
      <c r="D337" s="59"/>
      <c r="E337" s="523">
        <f>+E336-H336</f>
        <v>103980.92</v>
      </c>
      <c r="F337" s="58"/>
      <c r="G337" s="58"/>
      <c r="H337" s="61"/>
    </row>
    <row r="338" spans="2:8">
      <c r="B338" s="49"/>
      <c r="C338" s="49"/>
      <c r="D338" s="62"/>
      <c r="E338" s="519"/>
      <c r="F338" s="49"/>
      <c r="G338" s="49"/>
      <c r="H338" s="49"/>
    </row>
    <row r="339" spans="2:8">
      <c r="B339" s="49"/>
      <c r="C339" s="49"/>
      <c r="D339" s="62"/>
      <c r="E339" s="519"/>
      <c r="F339" s="49"/>
      <c r="G339" s="49"/>
      <c r="H339" s="49"/>
    </row>
    <row r="340" spans="2:8">
      <c r="B340" s="49"/>
      <c r="C340" s="49"/>
      <c r="D340" s="62"/>
      <c r="E340" s="519"/>
      <c r="F340" s="49"/>
      <c r="G340" s="49"/>
      <c r="H340" s="49"/>
    </row>
    <row r="341" spans="2:8">
      <c r="B341" s="49"/>
      <c r="C341" s="49"/>
      <c r="D341" s="62"/>
      <c r="E341" s="519"/>
      <c r="F341" s="49"/>
      <c r="G341" s="49"/>
      <c r="H341" s="49"/>
    </row>
    <row r="342" spans="2:8">
      <c r="B342" s="49"/>
      <c r="C342" s="49"/>
      <c r="D342" s="62"/>
      <c r="E342" s="519"/>
      <c r="F342" s="49"/>
      <c r="G342" s="49"/>
      <c r="H342" s="49"/>
    </row>
    <row r="343" spans="2:8">
      <c r="B343" s="47"/>
      <c r="C343" s="47" t="s">
        <v>46</v>
      </c>
      <c r="D343" s="48"/>
      <c r="E343" s="519"/>
      <c r="F343" s="47"/>
      <c r="G343" s="47"/>
      <c r="H343" s="47"/>
    </row>
    <row r="344" spans="2:8">
      <c r="B344" s="47"/>
      <c r="C344" s="47" t="s">
        <v>50</v>
      </c>
      <c r="D344" s="48"/>
      <c r="E344" s="519"/>
      <c r="F344" s="47"/>
      <c r="G344" s="47"/>
      <c r="H344" s="47"/>
    </row>
    <row r="345" spans="2:8">
      <c r="B345" s="47"/>
      <c r="C345" s="47"/>
      <c r="D345" s="48"/>
      <c r="E345" s="519"/>
      <c r="F345" s="47"/>
      <c r="G345" s="47"/>
      <c r="H345" s="47"/>
    </row>
    <row r="346" spans="2:8">
      <c r="B346" s="47" t="s">
        <v>62</v>
      </c>
      <c r="C346" s="47"/>
      <c r="D346" s="48" t="str">
        <f>+'MAR 24'!B18</f>
        <v>VIVEK NAROTRA</v>
      </c>
      <c r="E346" s="519"/>
      <c r="F346" s="49"/>
      <c r="G346" s="47" t="s">
        <v>47</v>
      </c>
      <c r="H346" s="50">
        <f>+H317</f>
        <v>45352</v>
      </c>
    </row>
    <row r="347" spans="2:8">
      <c r="B347" s="47" t="s">
        <v>61</v>
      </c>
      <c r="C347" s="49"/>
      <c r="D347" s="51" t="s">
        <v>273</v>
      </c>
      <c r="E347" s="519"/>
      <c r="F347" s="49"/>
      <c r="G347" s="47"/>
      <c r="H347" s="47"/>
    </row>
    <row r="348" spans="2:8">
      <c r="B348" s="47" t="s">
        <v>53</v>
      </c>
      <c r="C348" s="47"/>
      <c r="D348" s="48">
        <f>+[2]BAdvice!C18</f>
        <v>20004235713</v>
      </c>
      <c r="E348" s="519"/>
      <c r="F348" s="47"/>
      <c r="G348" s="47" t="s">
        <v>54</v>
      </c>
      <c r="H348" s="49"/>
    </row>
    <row r="349" spans="2:8">
      <c r="B349" s="47" t="s">
        <v>52</v>
      </c>
      <c r="C349" s="47"/>
      <c r="D349" s="48" t="str">
        <f>+D320</f>
        <v>PN-7656</v>
      </c>
      <c r="E349" s="519"/>
      <c r="F349" s="47"/>
      <c r="G349" s="47" t="s">
        <v>63</v>
      </c>
      <c r="H349" s="47"/>
    </row>
    <row r="350" spans="2:8">
      <c r="B350" s="47"/>
      <c r="C350" s="47"/>
      <c r="D350" s="48"/>
      <c r="E350" s="519"/>
      <c r="F350" s="47"/>
      <c r="G350" s="47"/>
      <c r="H350" s="47"/>
    </row>
    <row r="351" spans="2:8">
      <c r="B351" s="603" t="s">
        <v>65</v>
      </c>
      <c r="C351" s="604"/>
      <c r="D351" s="604"/>
      <c r="E351" s="605"/>
      <c r="F351" s="603" t="s">
        <v>55</v>
      </c>
      <c r="G351" s="604"/>
      <c r="H351" s="605"/>
    </row>
    <row r="352" spans="2:8">
      <c r="B352" s="52"/>
      <c r="C352" s="53"/>
      <c r="D352" s="54"/>
      <c r="E352" s="520"/>
      <c r="F352" s="52"/>
      <c r="G352" s="53"/>
      <c r="H352" s="55"/>
    </row>
    <row r="353" spans="2:22">
      <c r="B353" s="52" t="s">
        <v>56</v>
      </c>
      <c r="C353" s="53"/>
      <c r="D353" s="54"/>
      <c r="E353" s="520">
        <f>+'MAR 24'!C18</f>
        <v>71300</v>
      </c>
      <c r="F353" s="52" t="s">
        <v>11</v>
      </c>
      <c r="G353" s="53"/>
      <c r="H353" s="55">
        <f>+'MAR 24'!O18</f>
        <v>12491.76</v>
      </c>
    </row>
    <row r="354" spans="2:22">
      <c r="B354" s="52" t="s">
        <v>276</v>
      </c>
      <c r="C354" s="53"/>
      <c r="D354" s="54"/>
      <c r="E354" s="527" t="str">
        <f>+'MAR 24'!D18</f>
        <v>9/11</v>
      </c>
      <c r="F354" s="47" t="s">
        <v>48</v>
      </c>
      <c r="G354" s="53"/>
      <c r="H354" s="55">
        <f>+'MAR 24'!P18</f>
        <v>2000</v>
      </c>
    </row>
    <row r="355" spans="2:22">
      <c r="B355" s="52" t="s">
        <v>8</v>
      </c>
      <c r="C355" s="53"/>
      <c r="D355" s="54"/>
      <c r="E355" s="521">
        <f>+'MAR 24'!H18</f>
        <v>32798</v>
      </c>
      <c r="F355" s="52" t="s">
        <v>18</v>
      </c>
      <c r="G355" s="53"/>
      <c r="H355" s="55">
        <f>+'MAR 24'!Q18</f>
        <v>45</v>
      </c>
    </row>
    <row r="356" spans="2:22">
      <c r="B356" s="52" t="s">
        <v>9</v>
      </c>
      <c r="C356" s="53"/>
      <c r="D356" s="54"/>
      <c r="E356" s="520">
        <f>+'MAR 24'!I18</f>
        <v>0</v>
      </c>
      <c r="F356" s="52" t="s">
        <v>13</v>
      </c>
      <c r="G356" s="53"/>
      <c r="H356" s="55">
        <f>+'MAR 24'!R18</f>
        <v>110</v>
      </c>
    </row>
    <row r="357" spans="2:22">
      <c r="B357" s="52" t="s">
        <v>59</v>
      </c>
      <c r="C357" s="53"/>
      <c r="D357" s="54"/>
      <c r="E357" s="520">
        <f>+'MAR 24'!J18</f>
        <v>1000</v>
      </c>
      <c r="F357" s="52" t="s">
        <v>58</v>
      </c>
      <c r="G357" s="53"/>
      <c r="H357" s="55">
        <f>+'MAR 24'!U18</f>
        <v>206</v>
      </c>
    </row>
    <row r="358" spans="2:22">
      <c r="B358" s="52" t="s">
        <v>290</v>
      </c>
      <c r="C358" s="53"/>
      <c r="D358" s="54"/>
      <c r="E358" s="520">
        <f>+'MAR 24'!K18</f>
        <v>5256</v>
      </c>
      <c r="F358" s="52" t="s">
        <v>106</v>
      </c>
      <c r="G358" s="53"/>
      <c r="H358" s="55">
        <f>+'MAR 24'!V18</f>
        <v>0</v>
      </c>
    </row>
    <row r="359" spans="2:22">
      <c r="B359" s="23" t="s">
        <v>107</v>
      </c>
      <c r="C359" s="53"/>
      <c r="D359" s="54"/>
      <c r="E359" s="520">
        <f>+'MAR 24'!L18</f>
        <v>0</v>
      </c>
      <c r="F359" s="52" t="s">
        <v>66</v>
      </c>
      <c r="G359" s="53"/>
      <c r="H359" s="55">
        <f>+'MAR 24'!W18</f>
        <v>0</v>
      </c>
    </row>
    <row r="360" spans="2:22">
      <c r="B360" s="23" t="s">
        <v>108</v>
      </c>
      <c r="C360" s="53"/>
      <c r="D360" s="54"/>
      <c r="E360" s="520">
        <f>+'MAR 24'!M18</f>
        <v>0</v>
      </c>
      <c r="F360" s="52" t="s">
        <v>37</v>
      </c>
      <c r="G360" s="53"/>
      <c r="H360" s="56">
        <f>+'MAR 24'!S18</f>
        <v>0</v>
      </c>
    </row>
    <row r="361" spans="2:22">
      <c r="B361" s="23" t="s">
        <v>117</v>
      </c>
      <c r="C361" s="53"/>
      <c r="D361" s="54"/>
      <c r="E361" s="514">
        <f>+'MAR 24'!F18</f>
        <v>0</v>
      </c>
      <c r="F361" s="52"/>
      <c r="G361" s="53"/>
      <c r="H361" s="55"/>
    </row>
    <row r="362" spans="2:22">
      <c r="B362" s="52"/>
      <c r="C362" s="53"/>
      <c r="D362" s="54"/>
      <c r="E362" s="520"/>
      <c r="F362" s="52"/>
      <c r="G362" s="53"/>
      <c r="H362" s="55"/>
    </row>
    <row r="363" spans="2:22">
      <c r="B363" s="52"/>
      <c r="C363" s="53"/>
      <c r="D363" s="54"/>
      <c r="E363" s="520"/>
      <c r="F363" s="52"/>
      <c r="G363" s="53"/>
      <c r="H363" s="55"/>
    </row>
    <row r="364" spans="2:22">
      <c r="B364" s="52"/>
      <c r="C364" s="53"/>
      <c r="D364" s="54"/>
      <c r="E364" s="520"/>
      <c r="F364" s="52"/>
      <c r="G364" s="53"/>
      <c r="H364" s="55"/>
    </row>
    <row r="365" spans="2:22">
      <c r="B365" s="57" t="s">
        <v>0</v>
      </c>
      <c r="C365" s="58"/>
      <c r="D365" s="59"/>
      <c r="E365" s="522">
        <f>SUM(E353:E364)</f>
        <v>110354</v>
      </c>
      <c r="F365" s="57"/>
      <c r="G365" s="58"/>
      <c r="H365" s="60">
        <f>SUM(H353:H364)</f>
        <v>14852.76</v>
      </c>
    </row>
    <row r="366" spans="2:22">
      <c r="B366" s="57" t="s">
        <v>60</v>
      </c>
      <c r="C366" s="58"/>
      <c r="D366" s="59"/>
      <c r="E366" s="523">
        <f>+E365-H365</f>
        <v>95501.24</v>
      </c>
      <c r="F366" s="58"/>
      <c r="G366" s="58"/>
      <c r="H366" s="61"/>
    </row>
    <row r="367" spans="2:22">
      <c r="B367" s="49"/>
      <c r="C367" s="49"/>
      <c r="D367" s="62"/>
      <c r="E367" s="519"/>
      <c r="F367" s="49"/>
      <c r="G367" s="49"/>
      <c r="H367" s="49"/>
    </row>
    <row r="368" spans="2:22">
      <c r="B368" s="49"/>
      <c r="C368" s="49"/>
      <c r="D368" s="62"/>
      <c r="E368" s="519"/>
      <c r="F368" s="49"/>
      <c r="G368" s="49"/>
      <c r="H368" s="49"/>
      <c r="P368" s="53"/>
      <c r="Q368" s="53"/>
      <c r="R368" s="54"/>
      <c r="S368" s="53"/>
      <c r="T368" s="53"/>
      <c r="U368" s="53"/>
      <c r="V368" s="53"/>
    </row>
    <row r="369" spans="2:22">
      <c r="B369" s="47"/>
      <c r="C369" s="47" t="s">
        <v>46</v>
      </c>
      <c r="D369" s="48"/>
      <c r="E369" s="519"/>
      <c r="F369" s="47"/>
      <c r="G369" s="47"/>
      <c r="H369" s="47"/>
      <c r="P369" s="53"/>
      <c r="Q369" s="53"/>
      <c r="R369" s="54"/>
      <c r="S369" s="53"/>
      <c r="T369" s="53"/>
      <c r="U369" s="53"/>
      <c r="V369" s="53"/>
    </row>
    <row r="370" spans="2:22">
      <c r="B370" s="47"/>
      <c r="C370" s="47" t="s">
        <v>50</v>
      </c>
      <c r="D370" s="48"/>
      <c r="E370" s="519"/>
      <c r="F370" s="47"/>
      <c r="G370" s="47"/>
      <c r="H370" s="47"/>
      <c r="P370" s="53"/>
      <c r="Q370" s="53"/>
      <c r="R370" s="54"/>
      <c r="S370" s="53"/>
      <c r="T370" s="53"/>
      <c r="U370" s="53"/>
      <c r="V370" s="53"/>
    </row>
    <row r="371" spans="2:22">
      <c r="B371" s="47"/>
      <c r="C371" s="47"/>
      <c r="D371" s="48"/>
      <c r="E371" s="519"/>
      <c r="F371" s="47"/>
      <c r="G371" s="47"/>
      <c r="H371" s="47"/>
      <c r="P371" s="53"/>
      <c r="Q371" s="53"/>
      <c r="R371" s="54"/>
      <c r="S371" s="53"/>
      <c r="T371" s="53"/>
      <c r="U371" s="53"/>
      <c r="V371" s="114"/>
    </row>
    <row r="372" spans="2:22">
      <c r="B372" s="47" t="s">
        <v>62</v>
      </c>
      <c r="C372" s="47"/>
      <c r="D372" s="48" t="str">
        <f>+'MAR 24'!B19</f>
        <v xml:space="preserve">Achal Bisht  </v>
      </c>
      <c r="E372" s="519"/>
      <c r="F372" s="49"/>
      <c r="G372" s="47" t="s">
        <v>47</v>
      </c>
      <c r="H372" s="50">
        <f>+H346</f>
        <v>45352</v>
      </c>
      <c r="P372" s="53"/>
      <c r="Q372" s="53"/>
      <c r="R372" s="51"/>
      <c r="S372" s="53"/>
      <c r="T372" s="53"/>
      <c r="U372" s="53"/>
      <c r="V372" s="53"/>
    </row>
    <row r="373" spans="2:22">
      <c r="B373" s="47" t="s">
        <v>61</v>
      </c>
      <c r="C373" s="49"/>
      <c r="D373" s="51" t="s">
        <v>273</v>
      </c>
      <c r="E373" s="519"/>
      <c r="F373" s="49"/>
      <c r="G373" s="47"/>
      <c r="H373" s="47"/>
      <c r="P373" s="53"/>
      <c r="Q373" s="53"/>
      <c r="R373" s="54"/>
      <c r="S373" s="53"/>
      <c r="T373" s="53"/>
      <c r="U373" s="53"/>
      <c r="V373" s="53"/>
    </row>
    <row r="374" spans="2:22">
      <c r="B374" s="47" t="s">
        <v>53</v>
      </c>
      <c r="C374" s="47"/>
      <c r="D374" s="48">
        <f>+[2]BAdvice!C19</f>
        <v>20010323317</v>
      </c>
      <c r="E374" s="519"/>
      <c r="F374" s="47"/>
      <c r="G374" s="47" t="s">
        <v>54</v>
      </c>
      <c r="H374" s="49"/>
      <c r="P374" s="53"/>
      <c r="Q374" s="53"/>
      <c r="R374" s="54"/>
      <c r="S374" s="53"/>
      <c r="T374" s="53"/>
      <c r="U374" s="53"/>
      <c r="V374" s="53"/>
    </row>
    <row r="375" spans="2:22">
      <c r="B375" s="47" t="s">
        <v>52</v>
      </c>
      <c r="C375" s="47"/>
      <c r="D375" s="48" t="str">
        <f>+D349</f>
        <v>PN-7656</v>
      </c>
      <c r="E375" s="519"/>
      <c r="F375" s="47"/>
      <c r="G375" s="47" t="s">
        <v>63</v>
      </c>
      <c r="H375" s="47"/>
      <c r="P375" s="53"/>
      <c r="Q375" s="53"/>
      <c r="R375" s="54"/>
      <c r="S375" s="53"/>
      <c r="T375" s="53"/>
      <c r="U375" s="53"/>
      <c r="V375" s="53"/>
    </row>
    <row r="376" spans="2:22">
      <c r="B376" s="47"/>
      <c r="C376" s="47"/>
      <c r="D376" s="48"/>
      <c r="E376" s="519"/>
      <c r="F376" s="47"/>
      <c r="G376" s="47"/>
      <c r="H376" s="47"/>
      <c r="P376" s="602"/>
      <c r="Q376" s="602"/>
      <c r="R376" s="602"/>
      <c r="S376" s="602"/>
      <c r="T376" s="602"/>
      <c r="U376" s="602"/>
      <c r="V376" s="602"/>
    </row>
    <row r="377" spans="2:22">
      <c r="B377" s="603" t="s">
        <v>65</v>
      </c>
      <c r="C377" s="604"/>
      <c r="D377" s="604"/>
      <c r="E377" s="605"/>
      <c r="F377" s="603" t="s">
        <v>55</v>
      </c>
      <c r="G377" s="604"/>
      <c r="H377" s="605"/>
      <c r="P377" s="53"/>
      <c r="Q377" s="53"/>
      <c r="R377" s="54"/>
      <c r="S377" s="53"/>
      <c r="T377" s="53"/>
      <c r="U377" s="53"/>
      <c r="V377" s="53"/>
    </row>
    <row r="378" spans="2:22">
      <c r="B378" s="52"/>
      <c r="C378" s="53"/>
      <c r="D378" s="54"/>
      <c r="E378" s="520"/>
      <c r="F378" s="52"/>
      <c r="G378" s="53"/>
      <c r="H378" s="55"/>
      <c r="P378" s="53"/>
      <c r="Q378" s="53"/>
      <c r="R378" s="54"/>
      <c r="S378" s="53"/>
      <c r="T378" s="53"/>
      <c r="U378" s="53"/>
      <c r="V378" s="53"/>
    </row>
    <row r="379" spans="2:22">
      <c r="B379" s="52" t="s">
        <v>56</v>
      </c>
      <c r="C379" s="53"/>
      <c r="D379" s="54"/>
      <c r="E379" s="520">
        <f>+'MAR 24'!C19</f>
        <v>69200</v>
      </c>
      <c r="F379" s="52" t="s">
        <v>11</v>
      </c>
      <c r="G379" s="53"/>
      <c r="H379" s="55">
        <f>+'MAR 24'!O19+1</f>
        <v>12124.84</v>
      </c>
      <c r="P379" s="53"/>
      <c r="Q379" s="53"/>
      <c r="R379" s="54"/>
      <c r="S379" s="53"/>
      <c r="T379" s="53"/>
      <c r="U379" s="53"/>
      <c r="V379" s="53"/>
    </row>
    <row r="380" spans="2:22">
      <c r="B380" s="52" t="s">
        <v>276</v>
      </c>
      <c r="C380" s="53"/>
      <c r="D380" s="54"/>
      <c r="E380" s="527" t="str">
        <f>+'MAR 24'!D19</f>
        <v>9/10</v>
      </c>
      <c r="F380" s="47" t="s">
        <v>48</v>
      </c>
      <c r="G380" s="53"/>
      <c r="H380" s="55">
        <f>+'MAR 24'!P19</f>
        <v>10000</v>
      </c>
      <c r="P380" s="53"/>
      <c r="Q380" s="53"/>
      <c r="R380" s="54"/>
      <c r="S380" s="78"/>
      <c r="T380" s="53"/>
      <c r="U380" s="53"/>
      <c r="V380" s="53"/>
    </row>
    <row r="381" spans="2:22">
      <c r="B381" s="52" t="s">
        <v>8</v>
      </c>
      <c r="C381" s="53"/>
      <c r="D381" s="54"/>
      <c r="E381" s="521">
        <f>+'MAR 24'!H19</f>
        <v>31832</v>
      </c>
      <c r="F381" s="52" t="s">
        <v>18</v>
      </c>
      <c r="G381" s="53"/>
      <c r="H381" s="55">
        <f>+'MAR 24'!Q19</f>
        <v>45</v>
      </c>
      <c r="P381" s="53"/>
      <c r="Q381" s="53"/>
      <c r="R381" s="54"/>
      <c r="S381" s="78"/>
      <c r="T381" s="53"/>
      <c r="U381" s="53"/>
      <c r="V381" s="53"/>
    </row>
    <row r="382" spans="2:22">
      <c r="B382" s="52" t="s">
        <v>9</v>
      </c>
      <c r="C382" s="53"/>
      <c r="D382" s="54"/>
      <c r="E382" s="521">
        <f>+'MAR 24'!I19</f>
        <v>12456</v>
      </c>
      <c r="F382" s="52" t="s">
        <v>13</v>
      </c>
      <c r="G382" s="53"/>
      <c r="H382" s="55">
        <f>+'MAR 24'!R19</f>
        <v>110</v>
      </c>
      <c r="P382" s="53"/>
      <c r="Q382" s="53"/>
      <c r="R382" s="54"/>
      <c r="S382" s="53"/>
      <c r="T382" s="53"/>
      <c r="U382" s="53"/>
      <c r="V382" s="53"/>
    </row>
    <row r="383" spans="2:22">
      <c r="B383" s="52" t="s">
        <v>59</v>
      </c>
      <c r="C383" s="53"/>
      <c r="D383" s="54"/>
      <c r="E383" s="520">
        <f>+'MAR 24'!J19</f>
        <v>1000</v>
      </c>
      <c r="F383" s="52" t="s">
        <v>58</v>
      </c>
      <c r="G383" s="53"/>
      <c r="H383" s="55">
        <f>+'MAR 24'!U19</f>
        <v>0</v>
      </c>
      <c r="P383" s="53"/>
      <c r="Q383" s="53"/>
      <c r="R383" s="54"/>
      <c r="S383" s="53"/>
      <c r="T383" s="53"/>
      <c r="U383" s="53"/>
      <c r="V383" s="53"/>
    </row>
    <row r="384" spans="2:22">
      <c r="B384" s="52" t="s">
        <v>290</v>
      </c>
      <c r="C384" s="53"/>
      <c r="D384" s="54"/>
      <c r="E384" s="520">
        <f>+'MAR 24'!K19</f>
        <v>5256</v>
      </c>
      <c r="F384" s="52" t="s">
        <v>106</v>
      </c>
      <c r="G384" s="53"/>
      <c r="H384" s="55">
        <f>+'MAR 24'!V19</f>
        <v>0</v>
      </c>
      <c r="Q384" s="53"/>
      <c r="R384" s="54"/>
      <c r="S384" s="53"/>
      <c r="T384" s="53"/>
      <c r="U384" s="53"/>
      <c r="V384" s="53"/>
    </row>
    <row r="385" spans="2:22">
      <c r="B385" s="23" t="s">
        <v>107</v>
      </c>
      <c r="C385" s="53"/>
      <c r="D385" s="54"/>
      <c r="E385" s="520">
        <f>+'MAR 24'!L19</f>
        <v>0</v>
      </c>
      <c r="F385" s="52" t="s">
        <v>66</v>
      </c>
      <c r="G385" s="53"/>
      <c r="H385" s="55">
        <f>+'MAR 24'!W19</f>
        <v>0</v>
      </c>
      <c r="Q385" s="53"/>
      <c r="R385" s="54"/>
      <c r="S385" s="53"/>
      <c r="T385" s="53"/>
      <c r="U385" s="53"/>
      <c r="V385" s="78"/>
    </row>
    <row r="386" spans="2:22">
      <c r="B386" s="23" t="s">
        <v>108</v>
      </c>
      <c r="C386" s="53"/>
      <c r="D386" s="54"/>
      <c r="E386" s="520">
        <f>+'MAR 24'!M19</f>
        <v>0</v>
      </c>
      <c r="F386" s="52" t="s">
        <v>37</v>
      </c>
      <c r="G386" s="53"/>
      <c r="H386" s="56">
        <f>+'MAR 24'!S19</f>
        <v>0</v>
      </c>
      <c r="Q386" s="53"/>
      <c r="R386" s="54"/>
      <c r="S386" s="85"/>
      <c r="T386" s="53"/>
      <c r="U386" s="53"/>
      <c r="V386" s="53"/>
    </row>
    <row r="387" spans="2:22">
      <c r="B387" s="23" t="s">
        <v>117</v>
      </c>
      <c r="C387" s="53"/>
      <c r="D387" s="54"/>
      <c r="E387" s="514">
        <f>+'MAR 24'!F19</f>
        <v>0</v>
      </c>
      <c r="F387" s="52"/>
      <c r="G387" s="53"/>
      <c r="H387" s="55"/>
      <c r="P387" s="53"/>
      <c r="Q387" s="53"/>
      <c r="R387" s="54"/>
      <c r="S387" s="53"/>
      <c r="T387" s="53"/>
      <c r="U387" s="53"/>
      <c r="V387" s="53"/>
    </row>
    <row r="388" spans="2:22">
      <c r="B388" s="52"/>
      <c r="C388" s="53"/>
      <c r="D388" s="54"/>
      <c r="E388" s="520"/>
      <c r="F388" s="52"/>
      <c r="G388" s="53"/>
      <c r="H388" s="55"/>
      <c r="P388" s="53"/>
      <c r="Q388" s="53"/>
      <c r="R388" s="54"/>
      <c r="S388" s="53"/>
      <c r="T388" s="53"/>
      <c r="U388" s="53"/>
      <c r="V388" s="53"/>
    </row>
    <row r="389" spans="2:22">
      <c r="B389" s="52"/>
      <c r="C389" s="53"/>
      <c r="D389" s="54"/>
      <c r="E389" s="520"/>
      <c r="F389" s="52"/>
      <c r="G389" s="53"/>
      <c r="H389" s="55"/>
      <c r="P389" s="53"/>
      <c r="Q389" s="53"/>
      <c r="R389" s="54"/>
      <c r="S389" s="53"/>
      <c r="T389" s="53"/>
      <c r="U389" s="53"/>
      <c r="V389" s="53"/>
    </row>
    <row r="390" spans="2:22">
      <c r="B390" s="52"/>
      <c r="C390" s="53"/>
      <c r="D390" s="54"/>
      <c r="E390" s="520"/>
      <c r="F390" s="52"/>
      <c r="G390" s="53"/>
      <c r="H390" s="55"/>
      <c r="P390" s="53"/>
      <c r="Q390" s="53"/>
      <c r="R390" s="54"/>
      <c r="S390" s="78"/>
      <c r="T390" s="53"/>
      <c r="U390" s="53"/>
      <c r="V390" s="78"/>
    </row>
    <row r="391" spans="2:22">
      <c r="B391" s="57" t="s">
        <v>0</v>
      </c>
      <c r="C391" s="58"/>
      <c r="D391" s="59"/>
      <c r="E391" s="522">
        <f>SUM(E379:E390)+1</f>
        <v>119745</v>
      </c>
      <c r="F391" s="57"/>
      <c r="G391" s="58"/>
      <c r="H391" s="60">
        <f>SUM(H379:H390)</f>
        <v>22279.84</v>
      </c>
      <c r="P391" s="53"/>
      <c r="Q391" s="53"/>
      <c r="R391" s="54"/>
      <c r="S391" s="115"/>
      <c r="T391" s="53"/>
      <c r="U391" s="53"/>
      <c r="V391" s="53"/>
    </row>
    <row r="392" spans="2:22">
      <c r="B392" s="57" t="s">
        <v>60</v>
      </c>
      <c r="C392" s="58"/>
      <c r="D392" s="59"/>
      <c r="E392" s="523">
        <f>+E391-H391</f>
        <v>97465.16</v>
      </c>
      <c r="F392" s="58"/>
      <c r="G392" s="58"/>
      <c r="H392" s="61"/>
    </row>
    <row r="393" spans="2:22">
      <c r="B393" s="49"/>
      <c r="C393" s="49"/>
      <c r="D393" s="62"/>
      <c r="E393" s="519"/>
      <c r="F393" s="49"/>
      <c r="G393" s="49"/>
      <c r="H393" s="49"/>
    </row>
    <row r="394" spans="2:22" hidden="1">
      <c r="B394" s="49"/>
      <c r="C394" s="49"/>
      <c r="D394" s="62"/>
      <c r="E394" s="519"/>
      <c r="F394" s="49"/>
      <c r="G394" s="49"/>
      <c r="H394" s="49"/>
    </row>
    <row r="395" spans="2:22" hidden="1">
      <c r="B395" s="49"/>
      <c r="C395" s="49"/>
      <c r="D395" s="62"/>
      <c r="E395" s="519"/>
      <c r="F395" s="49"/>
      <c r="G395" s="49"/>
      <c r="H395" s="49"/>
    </row>
    <row r="396" spans="2:22" hidden="1">
      <c r="B396" s="49"/>
      <c r="C396" s="49"/>
      <c r="D396" s="62"/>
      <c r="E396" s="519"/>
      <c r="F396" s="49"/>
      <c r="G396" s="49"/>
      <c r="H396" s="49"/>
    </row>
    <row r="397" spans="2:22" hidden="1">
      <c r="B397" s="49"/>
      <c r="C397" s="49"/>
      <c r="D397" s="62"/>
      <c r="E397" s="519"/>
      <c r="F397" s="49"/>
      <c r="G397" s="49"/>
      <c r="H397" s="49"/>
      <c r="K397" s="221"/>
      <c r="L397" s="221"/>
      <c r="M397" s="221"/>
      <c r="N397" s="221"/>
      <c r="O397" s="221"/>
      <c r="P397" s="221"/>
      <c r="Q397" s="221"/>
    </row>
    <row r="398" spans="2:22">
      <c r="B398" s="47"/>
      <c r="C398" s="47" t="s">
        <v>46</v>
      </c>
      <c r="D398" s="48"/>
      <c r="E398" s="519"/>
      <c r="F398" s="47"/>
      <c r="G398" s="47"/>
      <c r="H398" s="47"/>
      <c r="K398" s="53"/>
      <c r="L398" s="53"/>
      <c r="M398" s="54"/>
      <c r="N398" s="53"/>
      <c r="O398" s="53"/>
      <c r="P398" s="53"/>
      <c r="Q398" s="53"/>
    </row>
    <row r="399" spans="2:22">
      <c r="B399" s="47"/>
      <c r="C399" s="47" t="s">
        <v>50</v>
      </c>
      <c r="D399" s="48"/>
      <c r="E399" s="519"/>
      <c r="F399" s="47"/>
      <c r="G399" s="47"/>
      <c r="H399" s="47"/>
      <c r="K399" s="53"/>
      <c r="L399" s="53"/>
      <c r="M399" s="54"/>
      <c r="N399" s="53"/>
      <c r="O399" s="53"/>
      <c r="P399" s="53"/>
      <c r="Q399" s="53"/>
      <c r="V399" s="93"/>
    </row>
    <row r="400" spans="2:22">
      <c r="B400" s="47"/>
      <c r="C400" s="47"/>
      <c r="D400" s="48"/>
      <c r="E400" s="519"/>
      <c r="F400" s="47"/>
      <c r="G400" s="47"/>
      <c r="H400" s="47"/>
      <c r="K400" s="53"/>
      <c r="L400" s="53"/>
      <c r="M400" s="54"/>
      <c r="N400" s="53"/>
      <c r="O400" s="53"/>
      <c r="P400" s="53"/>
      <c r="Q400" s="53"/>
      <c r="R400" s="19"/>
    </row>
    <row r="401" spans="2:22">
      <c r="B401" s="47" t="s">
        <v>62</v>
      </c>
      <c r="C401" s="47"/>
      <c r="D401" s="48" t="str">
        <f>+'MAR 24'!B21</f>
        <v>Suresh Chand (CONTRACTUAL)</v>
      </c>
      <c r="E401" s="519"/>
      <c r="F401" s="49"/>
      <c r="G401" s="47" t="s">
        <v>47</v>
      </c>
      <c r="H401" s="50">
        <f>+H372</f>
        <v>45352</v>
      </c>
      <c r="K401" s="53"/>
      <c r="L401" s="53"/>
      <c r="M401" s="54"/>
      <c r="N401" s="53"/>
      <c r="O401" s="53"/>
      <c r="P401" s="53"/>
      <c r="Q401" s="114"/>
    </row>
    <row r="402" spans="2:22">
      <c r="B402" s="47" t="s">
        <v>61</v>
      </c>
      <c r="C402" s="49"/>
      <c r="D402" s="51" t="s">
        <v>133</v>
      </c>
      <c r="E402" s="519"/>
      <c r="F402" s="49"/>
      <c r="G402" s="47"/>
      <c r="H402" s="47"/>
      <c r="K402" s="53"/>
      <c r="L402" s="53"/>
      <c r="M402" s="51"/>
      <c r="N402" s="53"/>
      <c r="O402" s="53"/>
      <c r="P402" s="53"/>
      <c r="Q402" s="53"/>
    </row>
    <row r="403" spans="2:22">
      <c r="B403" s="47" t="s">
        <v>53</v>
      </c>
      <c r="C403" s="47"/>
      <c r="D403" s="48">
        <f>+[2]BAdvice!C20</f>
        <v>10012667079</v>
      </c>
      <c r="E403" s="519"/>
      <c r="F403" s="47"/>
      <c r="G403" s="47" t="s">
        <v>54</v>
      </c>
      <c r="H403" s="49"/>
      <c r="K403" s="53"/>
      <c r="L403" s="53"/>
      <c r="M403" s="54"/>
      <c r="N403" s="53"/>
      <c r="O403" s="53"/>
      <c r="P403" s="53"/>
      <c r="Q403" s="53"/>
    </row>
    <row r="404" spans="2:22">
      <c r="B404" s="47" t="s">
        <v>52</v>
      </c>
      <c r="C404" s="47"/>
      <c r="D404" s="48" t="str">
        <f>+D375</f>
        <v>PN-7656</v>
      </c>
      <c r="E404" s="519"/>
      <c r="F404" s="47"/>
      <c r="G404" s="47" t="s">
        <v>63</v>
      </c>
      <c r="H404" s="47"/>
      <c r="K404" s="53"/>
      <c r="L404" s="53"/>
      <c r="M404" s="54"/>
      <c r="N404" s="53"/>
      <c r="O404" s="53"/>
      <c r="P404" s="53"/>
      <c r="Q404" s="53"/>
    </row>
    <row r="405" spans="2:22">
      <c r="B405" s="47"/>
      <c r="C405" s="47"/>
      <c r="D405" s="48"/>
      <c r="E405" s="519"/>
      <c r="F405" s="47"/>
      <c r="G405" s="47"/>
      <c r="H405" s="47"/>
      <c r="K405" s="53"/>
      <c r="L405" s="53"/>
      <c r="M405" s="54"/>
      <c r="N405" s="53"/>
      <c r="O405" s="53"/>
      <c r="P405" s="53"/>
      <c r="Q405" s="53"/>
    </row>
    <row r="406" spans="2:22">
      <c r="B406" s="603" t="s">
        <v>65</v>
      </c>
      <c r="C406" s="604"/>
      <c r="D406" s="604"/>
      <c r="E406" s="605"/>
      <c r="F406" s="603" t="s">
        <v>55</v>
      </c>
      <c r="G406" s="604"/>
      <c r="H406" s="605"/>
      <c r="K406" s="602"/>
      <c r="L406" s="602"/>
      <c r="M406" s="602"/>
      <c r="N406" s="602"/>
      <c r="O406" s="602"/>
      <c r="P406" s="602"/>
      <c r="Q406" s="602"/>
    </row>
    <row r="407" spans="2:22">
      <c r="B407" s="52"/>
      <c r="C407" s="53"/>
      <c r="D407" s="54"/>
      <c r="E407" s="520"/>
      <c r="F407" s="52"/>
      <c r="G407" s="53"/>
      <c r="H407" s="55"/>
      <c r="K407" s="53"/>
      <c r="L407" s="53"/>
      <c r="M407" s="54"/>
      <c r="N407" s="53"/>
      <c r="O407" s="53"/>
      <c r="P407" s="53"/>
      <c r="Q407" s="53"/>
    </row>
    <row r="408" spans="2:22">
      <c r="B408" s="52" t="s">
        <v>56</v>
      </c>
      <c r="C408" s="53"/>
      <c r="D408" s="54"/>
      <c r="E408" s="520">
        <f>+'MAR 24'!C21</f>
        <v>71307</v>
      </c>
      <c r="F408" s="52" t="s">
        <v>11</v>
      </c>
      <c r="G408" s="53"/>
      <c r="H408" s="55">
        <f>+'MAR 24'!O21</f>
        <v>8556.84</v>
      </c>
      <c r="K408" s="53"/>
      <c r="L408" s="53"/>
      <c r="M408" s="54"/>
      <c r="N408" s="53"/>
      <c r="O408" s="53"/>
      <c r="P408" s="53"/>
      <c r="Q408" s="53"/>
      <c r="S408" s="85"/>
    </row>
    <row r="409" spans="2:22">
      <c r="B409" s="52" t="s">
        <v>276</v>
      </c>
      <c r="C409" s="53"/>
      <c r="D409" s="54"/>
      <c r="E409" s="520">
        <f>+'MAR 24'!D21</f>
        <v>0</v>
      </c>
      <c r="F409" s="47" t="s">
        <v>48</v>
      </c>
      <c r="G409" s="53"/>
      <c r="H409" s="55">
        <f>+'MAR 24'!P21</f>
        <v>0</v>
      </c>
      <c r="K409" s="53"/>
      <c r="L409" s="53"/>
      <c r="M409" s="54"/>
      <c r="N409" s="53"/>
      <c r="O409" s="53"/>
      <c r="P409" s="53"/>
      <c r="Q409" s="53"/>
      <c r="S409" s="85"/>
    </row>
    <row r="410" spans="2:22">
      <c r="B410" s="52" t="s">
        <v>8</v>
      </c>
      <c r="C410" s="53"/>
      <c r="D410" s="54"/>
      <c r="E410" s="521">
        <f>+'MAR 24'!H21</f>
        <v>0</v>
      </c>
      <c r="F410" s="52" t="s">
        <v>18</v>
      </c>
      <c r="G410" s="53"/>
      <c r="H410" s="55">
        <f>+'MAR 24'!Q21</f>
        <v>0</v>
      </c>
      <c r="K410" s="53"/>
      <c r="L410" s="53"/>
      <c r="M410" s="54"/>
      <c r="N410" s="78"/>
      <c r="O410" s="53"/>
      <c r="P410" s="53"/>
      <c r="Q410" s="53"/>
    </row>
    <row r="411" spans="2:22">
      <c r="B411" s="52" t="s">
        <v>9</v>
      </c>
      <c r="C411" s="53"/>
      <c r="D411" s="54"/>
      <c r="E411" s="520">
        <f>+'MAR 24'!I21</f>
        <v>0</v>
      </c>
      <c r="F411" s="52" t="s">
        <v>13</v>
      </c>
      <c r="G411" s="53"/>
      <c r="H411" s="55">
        <f>+'MAR 24'!R21</f>
        <v>110</v>
      </c>
      <c r="K411" s="53"/>
      <c r="L411" s="53"/>
      <c r="M411" s="54"/>
      <c r="N411" s="53"/>
      <c r="O411" s="53"/>
      <c r="P411" s="53"/>
      <c r="Q411" s="53"/>
    </row>
    <row r="412" spans="2:22">
      <c r="B412" s="52" t="s">
        <v>59</v>
      </c>
      <c r="C412" s="53"/>
      <c r="D412" s="54"/>
      <c r="E412" s="520">
        <f>+'MAR 24'!J21</f>
        <v>0</v>
      </c>
      <c r="F412" s="52" t="s">
        <v>58</v>
      </c>
      <c r="G412" s="53"/>
      <c r="H412" s="55">
        <f>+'MAR 24'!U21</f>
        <v>173</v>
      </c>
      <c r="K412" s="53"/>
      <c r="L412" s="53"/>
      <c r="M412" s="54"/>
      <c r="N412" s="53"/>
      <c r="O412" s="53"/>
      <c r="P412" s="53"/>
      <c r="Q412" s="53"/>
    </row>
    <row r="413" spans="2:22">
      <c r="B413" s="52" t="s">
        <v>290</v>
      </c>
      <c r="C413" s="53"/>
      <c r="D413" s="54"/>
      <c r="E413" s="520">
        <f>+'MAR 24'!K21</f>
        <v>0</v>
      </c>
      <c r="F413" s="52" t="s">
        <v>67</v>
      </c>
      <c r="G413" s="53"/>
      <c r="H413" s="55">
        <f>+'MAR 24'!V21</f>
        <v>0</v>
      </c>
      <c r="K413" s="53"/>
      <c r="L413" s="53"/>
      <c r="M413" s="54"/>
      <c r="N413" s="53"/>
      <c r="O413" s="53"/>
      <c r="P413" s="53"/>
      <c r="Q413" s="53"/>
      <c r="V413" s="85"/>
    </row>
    <row r="414" spans="2:22">
      <c r="B414" s="23" t="s">
        <v>107</v>
      </c>
      <c r="C414" s="53"/>
      <c r="D414" s="54"/>
      <c r="E414" s="520">
        <f>+'MAR 24'!L21</f>
        <v>0</v>
      </c>
      <c r="F414" s="52" t="s">
        <v>66</v>
      </c>
      <c r="G414" s="53"/>
      <c r="H414" s="55">
        <f>+'MAR 24'!W21</f>
        <v>0</v>
      </c>
      <c r="K414" s="221"/>
      <c r="L414" s="53"/>
      <c r="M414" s="54"/>
      <c r="N414" s="53"/>
      <c r="O414" s="53"/>
      <c r="P414" s="53"/>
      <c r="Q414" s="53"/>
      <c r="S414" s="85"/>
    </row>
    <row r="415" spans="2:22">
      <c r="B415" s="23" t="s">
        <v>108</v>
      </c>
      <c r="C415" s="53"/>
      <c r="D415" s="54"/>
      <c r="E415" s="520">
        <f>+'MAR 24'!M21</f>
        <v>0</v>
      </c>
      <c r="F415" s="52" t="s">
        <v>37</v>
      </c>
      <c r="G415" s="53"/>
      <c r="H415" s="56">
        <f>+'MAR 24'!T21</f>
        <v>3693</v>
      </c>
      <c r="I415" s="545"/>
      <c r="K415" s="221"/>
      <c r="L415" s="53"/>
      <c r="M415" s="54"/>
      <c r="N415" s="53"/>
      <c r="O415" s="53"/>
      <c r="P415" s="53"/>
      <c r="Q415" s="78"/>
    </row>
    <row r="416" spans="2:22">
      <c r="B416" s="23" t="s">
        <v>117</v>
      </c>
      <c r="C416" s="53"/>
      <c r="D416" s="54"/>
      <c r="E416" s="514">
        <f>+'MAR 24'!F21</f>
        <v>0</v>
      </c>
      <c r="F416" s="52"/>
      <c r="G416" s="53"/>
      <c r="H416" s="55"/>
      <c r="K416" s="221"/>
      <c r="L416" s="53"/>
      <c r="M416" s="54"/>
      <c r="N416" s="85"/>
      <c r="O416" s="53"/>
      <c r="P416" s="53"/>
      <c r="Q416" s="53"/>
    </row>
    <row r="417" spans="2:22">
      <c r="B417" s="52"/>
      <c r="C417" s="53"/>
      <c r="D417" s="54"/>
      <c r="E417" s="520"/>
      <c r="F417" s="52"/>
      <c r="G417" s="53"/>
      <c r="H417" s="55"/>
      <c r="K417" s="53"/>
      <c r="L417" s="53"/>
      <c r="M417" s="54"/>
      <c r="N417" s="53"/>
      <c r="O417" s="53"/>
      <c r="P417" s="53"/>
      <c r="Q417" s="53"/>
    </row>
    <row r="418" spans="2:22">
      <c r="B418" s="52"/>
      <c r="C418" s="53"/>
      <c r="D418" s="54"/>
      <c r="E418" s="520"/>
      <c r="F418" s="52"/>
      <c r="G418" s="53"/>
      <c r="H418" s="55"/>
      <c r="K418" s="53"/>
      <c r="L418" s="53"/>
      <c r="M418" s="54"/>
      <c r="N418" s="53"/>
      <c r="O418" s="53"/>
      <c r="P418" s="53"/>
      <c r="Q418" s="53"/>
      <c r="S418" s="85"/>
      <c r="V418" s="85"/>
    </row>
    <row r="419" spans="2:22">
      <c r="B419" s="52"/>
      <c r="C419" s="53"/>
      <c r="D419" s="54"/>
      <c r="E419" s="520"/>
      <c r="F419" s="52"/>
      <c r="G419" s="53"/>
      <c r="H419" s="55"/>
      <c r="K419" s="53"/>
      <c r="L419" s="53"/>
      <c r="M419" s="54"/>
      <c r="N419" s="53"/>
      <c r="O419" s="53"/>
      <c r="P419" s="53"/>
      <c r="Q419" s="53"/>
      <c r="S419" s="85"/>
    </row>
    <row r="420" spans="2:22">
      <c r="B420" s="57" t="s">
        <v>0</v>
      </c>
      <c r="C420" s="58"/>
      <c r="D420" s="59"/>
      <c r="E420" s="522">
        <f>SUM(E408:E419)+0</f>
        <v>71307</v>
      </c>
      <c r="F420" s="57"/>
      <c r="G420" s="58"/>
      <c r="H420" s="60">
        <f>SUM(H408:H419)</f>
        <v>12532.84</v>
      </c>
      <c r="K420" s="53"/>
      <c r="L420" s="53"/>
      <c r="M420" s="54"/>
      <c r="N420" s="78"/>
      <c r="O420" s="53"/>
      <c r="P420" s="53"/>
      <c r="Q420" s="78"/>
    </row>
    <row r="421" spans="2:22">
      <c r="B421" s="57" t="s">
        <v>60</v>
      </c>
      <c r="C421" s="58"/>
      <c r="D421" s="59"/>
      <c r="E421" s="523">
        <f>+E420-H420</f>
        <v>58774.16</v>
      </c>
      <c r="F421" s="58"/>
      <c r="G421" s="58"/>
      <c r="H421" s="61"/>
      <c r="K421" s="53"/>
      <c r="L421" s="53"/>
      <c r="M421" s="54"/>
      <c r="N421" s="115"/>
      <c r="O421" s="53"/>
      <c r="P421" s="53"/>
      <c r="Q421" s="53"/>
    </row>
    <row r="422" spans="2:22">
      <c r="B422" s="49"/>
      <c r="C422" s="49"/>
      <c r="D422" s="62"/>
      <c r="E422" s="519"/>
      <c r="F422" s="49"/>
      <c r="G422" s="49"/>
      <c r="H422" s="49"/>
      <c r="K422" s="221"/>
      <c r="L422" s="221"/>
      <c r="M422" s="221"/>
      <c r="N422" s="221"/>
      <c r="O422" s="221"/>
      <c r="P422" s="221"/>
      <c r="Q422" s="221"/>
    </row>
    <row r="423" spans="2:22" hidden="1">
      <c r="B423" s="49"/>
      <c r="C423" s="49"/>
      <c r="D423" s="62"/>
      <c r="E423" s="519"/>
      <c r="F423" s="49"/>
      <c r="G423" s="49"/>
      <c r="H423" s="49"/>
      <c r="K423" s="221"/>
      <c r="L423" s="221"/>
      <c r="M423" s="221"/>
      <c r="N423" s="221"/>
      <c r="O423" s="221"/>
      <c r="P423" s="221"/>
      <c r="Q423" s="221"/>
    </row>
    <row r="424" spans="2:22" hidden="1">
      <c r="B424" s="49"/>
      <c r="C424" s="49"/>
      <c r="D424" s="62"/>
      <c r="E424" s="519"/>
      <c r="F424" s="49"/>
      <c r="G424" s="49"/>
      <c r="H424" s="49"/>
    </row>
    <row r="425" spans="2:22" s="127" customFormat="1" hidden="1">
      <c r="B425" s="125"/>
      <c r="C425" s="125"/>
      <c r="D425" s="126"/>
      <c r="E425" s="524"/>
      <c r="F425" s="125"/>
      <c r="G425" s="125"/>
      <c r="H425" s="125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</row>
    <row r="426" spans="2:22" hidden="1">
      <c r="B426" s="49"/>
      <c r="C426" s="49"/>
      <c r="D426" s="62"/>
      <c r="E426" s="519"/>
      <c r="F426" s="49"/>
      <c r="G426" s="49"/>
      <c r="H426" s="49"/>
    </row>
    <row r="427" spans="2:22" ht="13.5" hidden="1" customHeight="1">
      <c r="B427" s="47"/>
      <c r="C427" s="47" t="s">
        <v>46</v>
      </c>
      <c r="D427" s="48"/>
      <c r="E427" s="519"/>
      <c r="F427" s="47"/>
      <c r="G427" s="47"/>
      <c r="H427" s="47"/>
      <c r="V427" s="93"/>
    </row>
    <row r="428" spans="2:22" hidden="1">
      <c r="B428" s="47"/>
      <c r="C428" s="47" t="s">
        <v>50</v>
      </c>
      <c r="D428" s="48"/>
      <c r="E428" s="519"/>
      <c r="F428" s="47"/>
      <c r="G428" s="47"/>
      <c r="H428" s="47"/>
      <c r="R428" s="19"/>
    </row>
    <row r="429" spans="2:22" hidden="1">
      <c r="B429" s="47"/>
      <c r="C429" s="47"/>
      <c r="D429" s="48"/>
      <c r="E429" s="519"/>
      <c r="F429" s="47"/>
      <c r="G429" s="47"/>
      <c r="H429" s="47"/>
    </row>
    <row r="430" spans="2:22" hidden="1">
      <c r="B430" s="47" t="s">
        <v>62</v>
      </c>
      <c r="C430" s="47"/>
      <c r="D430" s="48" t="str">
        <f>+'MAR 24'!B22</f>
        <v>Munish Julka</v>
      </c>
      <c r="E430" s="519"/>
      <c r="F430" s="49"/>
      <c r="G430" s="47" t="s">
        <v>47</v>
      </c>
      <c r="H430" s="50">
        <f>+H401</f>
        <v>45352</v>
      </c>
    </row>
    <row r="431" spans="2:22" hidden="1">
      <c r="B431" s="47" t="s">
        <v>61</v>
      </c>
      <c r="C431" s="49"/>
      <c r="D431" s="51" t="s">
        <v>122</v>
      </c>
      <c r="E431" s="519"/>
      <c r="F431" s="49"/>
      <c r="G431" s="47"/>
      <c r="H431" s="47"/>
    </row>
    <row r="432" spans="2:22" hidden="1">
      <c r="B432" s="47" t="s">
        <v>53</v>
      </c>
      <c r="C432" s="47"/>
      <c r="D432" s="48">
        <f>+[2]BAdvice!C21</f>
        <v>20023356509</v>
      </c>
      <c r="E432" s="519"/>
      <c r="F432" s="47"/>
      <c r="G432" s="47" t="s">
        <v>54</v>
      </c>
      <c r="H432" s="49"/>
    </row>
    <row r="433" spans="2:22" hidden="1">
      <c r="B433" s="47" t="s">
        <v>52</v>
      </c>
      <c r="C433" s="47"/>
      <c r="D433" s="48" t="str">
        <f>+D404</f>
        <v>PN-7656</v>
      </c>
      <c r="E433" s="519"/>
      <c r="F433" s="47"/>
      <c r="G433" s="47" t="s">
        <v>63</v>
      </c>
      <c r="H433" s="47"/>
    </row>
    <row r="434" spans="2:22" hidden="1">
      <c r="B434" s="47"/>
      <c r="C434" s="47"/>
      <c r="D434" s="48"/>
      <c r="E434" s="519"/>
      <c r="F434" s="47"/>
      <c r="G434" s="47"/>
      <c r="H434" s="47"/>
    </row>
    <row r="435" spans="2:22" hidden="1">
      <c r="B435" s="603" t="s">
        <v>65</v>
      </c>
      <c r="C435" s="604"/>
      <c r="D435" s="604"/>
      <c r="E435" s="605"/>
      <c r="F435" s="603" t="s">
        <v>55</v>
      </c>
      <c r="G435" s="604"/>
      <c r="H435" s="605"/>
    </row>
    <row r="436" spans="2:22" hidden="1">
      <c r="B436" s="52"/>
      <c r="C436" s="53"/>
      <c r="D436" s="54"/>
      <c r="E436" s="520"/>
      <c r="F436" s="52"/>
      <c r="G436" s="53"/>
      <c r="H436" s="55"/>
      <c r="S436" s="85"/>
    </row>
    <row r="437" spans="2:22" hidden="1">
      <c r="B437" s="52" t="s">
        <v>56</v>
      </c>
      <c r="C437" s="53"/>
      <c r="D437" s="54"/>
      <c r="E437" s="520">
        <f>+'MAR 24'!C22</f>
        <v>66000</v>
      </c>
      <c r="F437" s="52" t="s">
        <v>11</v>
      </c>
      <c r="G437" s="53"/>
      <c r="H437" s="55">
        <f>+'MAR 24'!O22</f>
        <v>11563.199999999999</v>
      </c>
      <c r="S437" s="85"/>
    </row>
    <row r="438" spans="2:22" hidden="1">
      <c r="B438" s="52" t="s">
        <v>276</v>
      </c>
      <c r="C438" s="53"/>
      <c r="D438" s="54"/>
      <c r="E438" s="520"/>
      <c r="F438" s="47" t="s">
        <v>48</v>
      </c>
      <c r="G438" s="53"/>
      <c r="H438" s="55">
        <f>+'MAR 24'!P22</f>
        <v>12000</v>
      </c>
    </row>
    <row r="439" spans="2:22" hidden="1">
      <c r="B439" s="52" t="s">
        <v>8</v>
      </c>
      <c r="C439" s="53"/>
      <c r="D439" s="54"/>
      <c r="E439" s="521">
        <f>+'MAR 24'!H22</f>
        <v>30360</v>
      </c>
      <c r="F439" s="52" t="s">
        <v>18</v>
      </c>
      <c r="G439" s="53"/>
      <c r="H439" s="55">
        <f>+'MAR 24'!Q22</f>
        <v>30</v>
      </c>
    </row>
    <row r="440" spans="2:22" hidden="1">
      <c r="B440" s="52" t="s">
        <v>9</v>
      </c>
      <c r="C440" s="53"/>
      <c r="D440" s="54"/>
      <c r="E440" s="520">
        <f>+'MAR 24'!I22</f>
        <v>11880</v>
      </c>
      <c r="F440" s="52" t="s">
        <v>13</v>
      </c>
      <c r="G440" s="53"/>
      <c r="H440" s="55">
        <f>+'MAR 24'!R22</f>
        <v>110</v>
      </c>
    </row>
    <row r="441" spans="2:22" hidden="1">
      <c r="B441" s="52" t="s">
        <v>59</v>
      </c>
      <c r="C441" s="53"/>
      <c r="D441" s="54"/>
      <c r="E441" s="520">
        <f>+'MAR 24'!J22</f>
        <v>1000</v>
      </c>
      <c r="F441" s="52" t="s">
        <v>58</v>
      </c>
      <c r="G441" s="53"/>
      <c r="H441" s="56">
        <f>+'MAR 24'!U22</f>
        <v>0</v>
      </c>
      <c r="V441" s="85"/>
    </row>
    <row r="442" spans="2:22" hidden="1">
      <c r="B442" s="52" t="s">
        <v>290</v>
      </c>
      <c r="C442" s="53"/>
      <c r="D442" s="54"/>
      <c r="E442" s="520">
        <f>+'MAR 24'!K22</f>
        <v>2628</v>
      </c>
      <c r="F442" s="52" t="s">
        <v>67</v>
      </c>
      <c r="G442" s="53"/>
      <c r="H442" s="55">
        <f>+'MAR 24'!V22</f>
        <v>0</v>
      </c>
      <c r="S442" s="85"/>
    </row>
    <row r="443" spans="2:22" hidden="1">
      <c r="B443" s="23" t="s">
        <v>107</v>
      </c>
      <c r="C443" s="53"/>
      <c r="D443" s="54"/>
      <c r="E443" s="520">
        <f>+'MAR 24'!L22</f>
        <v>0</v>
      </c>
      <c r="F443" s="52" t="s">
        <v>66</v>
      </c>
      <c r="G443" s="53"/>
      <c r="H443" s="55">
        <f>+'MAR 24'!W22</f>
        <v>0</v>
      </c>
    </row>
    <row r="444" spans="2:22" hidden="1">
      <c r="B444" s="23" t="s">
        <v>108</v>
      </c>
      <c r="C444" s="53"/>
      <c r="D444" s="54"/>
      <c r="E444" s="520">
        <f>+'MAR 24'!M22</f>
        <v>0</v>
      </c>
      <c r="F444" s="52" t="s">
        <v>37</v>
      </c>
      <c r="G444" s="53"/>
      <c r="H444" s="55">
        <f>+'MAR 24'!S22</f>
        <v>0</v>
      </c>
    </row>
    <row r="445" spans="2:22" hidden="1">
      <c r="B445" s="23" t="s">
        <v>117</v>
      </c>
      <c r="C445" s="53"/>
      <c r="D445" s="54"/>
      <c r="E445" s="514">
        <f>+'MAR 24'!F22</f>
        <v>0</v>
      </c>
      <c r="F445" s="52"/>
      <c r="G445" s="53"/>
      <c r="H445" s="55"/>
    </row>
    <row r="446" spans="2:22" hidden="1">
      <c r="B446" s="52"/>
      <c r="C446" s="53"/>
      <c r="D446" s="54"/>
      <c r="E446" s="520"/>
      <c r="F446" s="52"/>
      <c r="G446" s="53"/>
      <c r="H446" s="55"/>
      <c r="S446" s="85"/>
      <c r="V446" s="85"/>
    </row>
    <row r="447" spans="2:22" hidden="1">
      <c r="B447" s="52"/>
      <c r="C447" s="53"/>
      <c r="D447" s="54"/>
      <c r="E447" s="520"/>
      <c r="F447" s="52"/>
      <c r="G447" s="53"/>
      <c r="H447" s="55"/>
      <c r="S447" s="85"/>
    </row>
    <row r="448" spans="2:22" hidden="1">
      <c r="B448" s="52"/>
      <c r="C448" s="53"/>
      <c r="D448" s="54"/>
      <c r="E448" s="520"/>
      <c r="F448" s="52"/>
      <c r="G448" s="53"/>
      <c r="H448" s="55"/>
    </row>
    <row r="449" spans="2:8" hidden="1">
      <c r="B449" s="57" t="s">
        <v>0</v>
      </c>
      <c r="C449" s="58"/>
      <c r="D449" s="59"/>
      <c r="E449" s="522">
        <f>SUM(E437:E448)</f>
        <v>111868</v>
      </c>
      <c r="F449" s="57"/>
      <c r="G449" s="58"/>
      <c r="H449" s="60">
        <f>SUM(H437:H448)</f>
        <v>23703.199999999997</v>
      </c>
    </row>
    <row r="450" spans="2:8" hidden="1">
      <c r="B450" s="57" t="s">
        <v>60</v>
      </c>
      <c r="C450" s="58"/>
      <c r="D450" s="59"/>
      <c r="E450" s="523">
        <f>+E449-H449</f>
        <v>88164.800000000003</v>
      </c>
      <c r="F450" s="58"/>
      <c r="G450" s="58"/>
      <c r="H450" s="61"/>
    </row>
    <row r="451" spans="2:8" hidden="1">
      <c r="B451" s="49"/>
      <c r="C451" s="49"/>
      <c r="D451" s="62"/>
      <c r="E451" s="519"/>
      <c r="F451" s="49"/>
      <c r="G451" s="49"/>
      <c r="H451" s="49"/>
    </row>
    <row r="452" spans="2:8" hidden="1">
      <c r="B452" s="49"/>
      <c r="C452" s="49"/>
      <c r="D452" s="62"/>
      <c r="E452" s="519"/>
      <c r="F452" s="49"/>
      <c r="G452" s="49"/>
      <c r="H452" s="49"/>
    </row>
    <row r="453" spans="2:8" hidden="1">
      <c r="B453" s="49"/>
      <c r="C453" s="49"/>
      <c r="D453" s="62"/>
      <c r="E453" s="519"/>
      <c r="F453" s="49"/>
      <c r="G453" s="49"/>
      <c r="H453" s="49"/>
    </row>
    <row r="454" spans="2:8" hidden="1">
      <c r="B454" s="49"/>
      <c r="C454" s="49"/>
      <c r="D454" s="62"/>
      <c r="E454" s="519"/>
      <c r="F454" s="49"/>
      <c r="G454" s="49"/>
      <c r="H454" s="49"/>
    </row>
    <row r="455" spans="2:8" hidden="1">
      <c r="B455" s="47"/>
      <c r="C455" s="47" t="s">
        <v>46</v>
      </c>
      <c r="D455" s="48"/>
      <c r="E455" s="519"/>
      <c r="F455" s="47"/>
      <c r="G455" s="47"/>
      <c r="H455" s="47"/>
    </row>
    <row r="456" spans="2:8" hidden="1">
      <c r="B456" s="47"/>
      <c r="C456" s="47" t="s">
        <v>50</v>
      </c>
      <c r="D456" s="48"/>
      <c r="E456" s="519"/>
      <c r="F456" s="47"/>
      <c r="G456" s="47"/>
      <c r="H456" s="47"/>
    </row>
    <row r="457" spans="2:8" hidden="1">
      <c r="B457" s="47"/>
      <c r="C457" s="47"/>
      <c r="D457" s="48"/>
      <c r="E457" s="519"/>
      <c r="F457" s="47"/>
      <c r="G457" s="47"/>
      <c r="H457" s="47"/>
    </row>
    <row r="458" spans="2:8" hidden="1">
      <c r="B458" s="47" t="s">
        <v>62</v>
      </c>
      <c r="C458" s="47"/>
      <c r="D458" s="48" t="e">
        <f>+'MAR 24'!#REF!</f>
        <v>#REF!</v>
      </c>
      <c r="E458" s="519"/>
      <c r="F458" s="49"/>
      <c r="G458" s="47" t="s">
        <v>47</v>
      </c>
      <c r="H458" s="50">
        <f>+H430</f>
        <v>45352</v>
      </c>
    </row>
    <row r="459" spans="2:8" hidden="1">
      <c r="B459" s="47" t="s">
        <v>61</v>
      </c>
      <c r="C459" s="49"/>
      <c r="D459" s="51" t="s">
        <v>76</v>
      </c>
      <c r="E459" s="519"/>
      <c r="F459" s="49"/>
      <c r="G459" s="47"/>
      <c r="H459" s="47"/>
    </row>
    <row r="460" spans="2:8" hidden="1">
      <c r="B460" s="47" t="s">
        <v>53</v>
      </c>
      <c r="C460" s="47"/>
      <c r="D460" s="48" t="e">
        <f>+[2]BAdvice!#REF!</f>
        <v>#REF!</v>
      </c>
      <c r="E460" s="519"/>
      <c r="F460" s="47"/>
      <c r="G460" s="47" t="s">
        <v>54</v>
      </c>
      <c r="H460" s="49"/>
    </row>
    <row r="461" spans="2:8" hidden="1">
      <c r="B461" s="47" t="s">
        <v>52</v>
      </c>
      <c r="C461" s="47"/>
      <c r="D461" s="48" t="str">
        <f>+D433</f>
        <v>PN-7656</v>
      </c>
      <c r="E461" s="519"/>
      <c r="F461" s="47"/>
      <c r="G461" s="47" t="s">
        <v>63</v>
      </c>
      <c r="H461" s="47"/>
    </row>
    <row r="462" spans="2:8" hidden="1">
      <c r="B462" s="47"/>
      <c r="C462" s="47"/>
      <c r="D462" s="48"/>
      <c r="E462" s="519"/>
      <c r="F462" s="47"/>
      <c r="G462" s="47"/>
      <c r="H462" s="47"/>
    </row>
    <row r="463" spans="2:8" hidden="1">
      <c r="B463" s="603" t="s">
        <v>65</v>
      </c>
      <c r="C463" s="604"/>
      <c r="D463" s="604"/>
      <c r="E463" s="605"/>
      <c r="F463" s="603" t="s">
        <v>55</v>
      </c>
      <c r="G463" s="604"/>
      <c r="H463" s="605"/>
    </row>
    <row r="464" spans="2:8" hidden="1">
      <c r="B464" s="52"/>
      <c r="C464" s="53"/>
      <c r="D464" s="54"/>
      <c r="E464" s="520"/>
      <c r="F464" s="52"/>
      <c r="G464" s="53"/>
      <c r="H464" s="55"/>
    </row>
    <row r="465" spans="2:8" hidden="1">
      <c r="B465" s="52" t="s">
        <v>56</v>
      </c>
      <c r="C465" s="53"/>
      <c r="D465" s="54"/>
      <c r="E465" s="520" t="e">
        <f>+'MAR 24'!#REF!</f>
        <v>#REF!</v>
      </c>
      <c r="F465" s="52" t="s">
        <v>11</v>
      </c>
      <c r="G465" s="53"/>
      <c r="H465" s="55" t="e">
        <f>+'MAR 24'!#REF!</f>
        <v>#REF!</v>
      </c>
    </row>
    <row r="466" spans="2:8" hidden="1">
      <c r="B466" s="52" t="s">
        <v>276</v>
      </c>
      <c r="C466" s="53"/>
      <c r="D466" s="54"/>
      <c r="E466" s="520" t="e">
        <f>+'MAR 24'!#REF!</f>
        <v>#REF!</v>
      </c>
      <c r="F466" s="47" t="s">
        <v>48</v>
      </c>
      <c r="G466" s="53"/>
      <c r="H466" s="55" t="e">
        <f>+'MAR 24'!#REF!</f>
        <v>#REF!</v>
      </c>
    </row>
    <row r="467" spans="2:8" hidden="1">
      <c r="B467" s="52" t="s">
        <v>8</v>
      </c>
      <c r="C467" s="53"/>
      <c r="D467" s="54"/>
      <c r="E467" s="521" t="e">
        <f>+'MAR 24'!#REF!</f>
        <v>#REF!</v>
      </c>
      <c r="F467" s="52" t="s">
        <v>18</v>
      </c>
      <c r="G467" s="53"/>
      <c r="H467" s="55" t="e">
        <f>+'MAR 24'!#REF!</f>
        <v>#REF!</v>
      </c>
    </row>
    <row r="468" spans="2:8" hidden="1">
      <c r="B468" s="52" t="s">
        <v>9</v>
      </c>
      <c r="C468" s="53"/>
      <c r="D468" s="54"/>
      <c r="E468" s="520" t="e">
        <f>+'MAR 24'!#REF!</f>
        <v>#REF!</v>
      </c>
      <c r="F468" s="52" t="s">
        <v>13</v>
      </c>
      <c r="G468" s="53"/>
      <c r="H468" s="55" t="e">
        <f>+'MAR 24'!#REF!</f>
        <v>#REF!</v>
      </c>
    </row>
    <row r="469" spans="2:8" hidden="1">
      <c r="B469" s="52" t="s">
        <v>59</v>
      </c>
      <c r="C469" s="53"/>
      <c r="D469" s="54"/>
      <c r="E469" s="520" t="e">
        <f>+'MAR 24'!#REF!</f>
        <v>#REF!</v>
      </c>
      <c r="F469" s="52" t="s">
        <v>58</v>
      </c>
      <c r="G469" s="53"/>
      <c r="H469" s="55" t="e">
        <f>+'MAR 24'!#REF!</f>
        <v>#REF!</v>
      </c>
    </row>
    <row r="470" spans="2:8" hidden="1">
      <c r="B470" s="52" t="s">
        <v>290</v>
      </c>
      <c r="C470" s="53"/>
      <c r="D470" s="54"/>
      <c r="E470" s="520" t="e">
        <f>+'MAR 24'!#REF!</f>
        <v>#REF!</v>
      </c>
      <c r="F470" s="52" t="s">
        <v>67</v>
      </c>
      <c r="G470" s="53"/>
      <c r="H470" s="55" t="e">
        <f>+'MAR 24'!#REF!</f>
        <v>#REF!</v>
      </c>
    </row>
    <row r="471" spans="2:8" hidden="1">
      <c r="B471" s="52" t="s">
        <v>64</v>
      </c>
      <c r="C471" s="53"/>
      <c r="D471" s="54"/>
      <c r="E471" s="520" t="e">
        <f>+'MAR 24'!#REF!</f>
        <v>#REF!</v>
      </c>
      <c r="F471" s="52" t="s">
        <v>66</v>
      </c>
      <c r="G471" s="53"/>
      <c r="H471" s="55" t="e">
        <f>+'MAR 24'!#REF!</f>
        <v>#REF!</v>
      </c>
    </row>
    <row r="472" spans="2:8" hidden="1">
      <c r="B472" s="52" t="s">
        <v>16</v>
      </c>
      <c r="C472" s="53"/>
      <c r="D472" s="54"/>
      <c r="E472" s="520" t="e">
        <f>+'MAR 24'!#REF!</f>
        <v>#REF!</v>
      </c>
      <c r="F472" s="52" t="s">
        <v>37</v>
      </c>
      <c r="G472" s="53"/>
      <c r="H472" s="55" t="e">
        <f>+'MAR 24'!#REF!</f>
        <v>#REF!</v>
      </c>
    </row>
    <row r="473" spans="2:8" hidden="1">
      <c r="B473" s="52"/>
      <c r="C473" s="53"/>
      <c r="D473" s="54"/>
      <c r="E473" s="520"/>
      <c r="F473" s="52"/>
      <c r="G473" s="53"/>
      <c r="H473" s="55"/>
    </row>
    <row r="474" spans="2:8" hidden="1">
      <c r="B474" s="52"/>
      <c r="C474" s="53"/>
      <c r="D474" s="54"/>
      <c r="E474" s="520"/>
      <c r="F474" s="52"/>
      <c r="G474" s="53"/>
      <c r="H474" s="55"/>
    </row>
    <row r="475" spans="2:8" hidden="1">
      <c r="B475" s="52"/>
      <c r="C475" s="53"/>
      <c r="D475" s="54"/>
      <c r="E475" s="520"/>
      <c r="F475" s="52"/>
      <c r="G475" s="53"/>
      <c r="H475" s="55"/>
    </row>
    <row r="476" spans="2:8" hidden="1">
      <c r="B476" s="52"/>
      <c r="C476" s="53"/>
      <c r="D476" s="54"/>
      <c r="E476" s="520"/>
      <c r="F476" s="52"/>
      <c r="G476" s="53"/>
      <c r="H476" s="55"/>
    </row>
    <row r="477" spans="2:8" hidden="1">
      <c r="B477" s="57" t="s">
        <v>0</v>
      </c>
      <c r="C477" s="58"/>
      <c r="D477" s="59"/>
      <c r="E477" s="522" t="e">
        <f>SUM(E465:E476)</f>
        <v>#REF!</v>
      </c>
      <c r="F477" s="57"/>
      <c r="G477" s="58"/>
      <c r="H477" s="61" t="e">
        <f>SUM(H465:H476)</f>
        <v>#REF!</v>
      </c>
    </row>
    <row r="478" spans="2:8" hidden="1">
      <c r="B478" s="57" t="s">
        <v>60</v>
      </c>
      <c r="C478" s="58"/>
      <c r="D478" s="59"/>
      <c r="E478" s="523" t="e">
        <f>+E477-H477</f>
        <v>#REF!</v>
      </c>
      <c r="F478" s="58"/>
      <c r="G478" s="58"/>
      <c r="H478" s="61"/>
    </row>
    <row r="479" spans="2:8" hidden="1">
      <c r="B479" s="49"/>
      <c r="C479" s="49"/>
      <c r="D479" s="62"/>
      <c r="E479" s="519"/>
      <c r="F479" s="49"/>
      <c r="G479" s="49"/>
      <c r="H479" s="49"/>
    </row>
    <row r="480" spans="2:8" hidden="1">
      <c r="B480" s="49"/>
      <c r="C480" s="49"/>
      <c r="D480" s="62"/>
      <c r="E480" s="519"/>
      <c r="F480" s="49"/>
      <c r="G480" s="49"/>
      <c r="H480" s="49"/>
    </row>
    <row r="481" spans="2:19" hidden="1">
      <c r="B481" s="49"/>
      <c r="C481" s="49"/>
      <c r="D481" s="62"/>
      <c r="E481" s="519"/>
      <c r="F481" s="49"/>
      <c r="G481" s="49"/>
      <c r="H481" s="49"/>
    </row>
    <row r="482" spans="2:19" hidden="1">
      <c r="B482" s="49"/>
      <c r="C482" s="49"/>
      <c r="D482" s="62"/>
      <c r="E482" s="519"/>
      <c r="F482" s="49"/>
      <c r="G482" s="49"/>
      <c r="H482" s="49"/>
    </row>
    <row r="483" spans="2:19" hidden="1">
      <c r="B483" s="49"/>
      <c r="C483" s="49"/>
      <c r="D483" s="62"/>
      <c r="E483" s="519"/>
      <c r="F483" s="49"/>
      <c r="G483" s="49"/>
      <c r="H483" s="49"/>
    </row>
    <row r="484" spans="2:19">
      <c r="B484" s="49"/>
      <c r="C484" s="49"/>
      <c r="D484" s="62"/>
      <c r="E484" s="519"/>
      <c r="F484" s="49"/>
      <c r="G484" s="49"/>
      <c r="H484" s="49"/>
    </row>
    <row r="485" spans="2:19">
      <c r="B485" s="47"/>
      <c r="C485" s="47" t="s">
        <v>46</v>
      </c>
      <c r="D485" s="48"/>
      <c r="E485" s="519"/>
      <c r="F485" s="47"/>
      <c r="G485" s="47"/>
      <c r="H485" s="47"/>
    </row>
    <row r="486" spans="2:19">
      <c r="B486" s="47"/>
      <c r="C486" s="47" t="s">
        <v>50</v>
      </c>
      <c r="D486" s="48"/>
      <c r="E486" s="519"/>
      <c r="F486" s="47"/>
      <c r="G486" s="47"/>
      <c r="H486" s="47"/>
    </row>
    <row r="487" spans="2:19">
      <c r="B487" s="47"/>
      <c r="C487" s="47"/>
      <c r="D487" s="48"/>
      <c r="E487" s="519"/>
      <c r="F487" s="47"/>
      <c r="G487" s="47"/>
      <c r="H487" s="47"/>
    </row>
    <row r="488" spans="2:19">
      <c r="B488" s="47" t="s">
        <v>62</v>
      </c>
      <c r="C488" s="47"/>
      <c r="D488" s="48" t="str">
        <f>+'MAR 24'!B25</f>
        <v>Devinder Singh</v>
      </c>
      <c r="E488" s="519"/>
      <c r="F488" s="49"/>
      <c r="G488" s="47" t="s">
        <v>47</v>
      </c>
      <c r="H488" s="50">
        <f>+H458</f>
        <v>45352</v>
      </c>
      <c r="M488" s="89"/>
      <c r="N488" s="89"/>
      <c r="O488" s="91"/>
      <c r="P488" s="89"/>
      <c r="Q488" s="89"/>
      <c r="R488" s="89"/>
      <c r="S488" s="92"/>
    </row>
    <row r="489" spans="2:19">
      <c r="B489" s="47" t="s">
        <v>61</v>
      </c>
      <c r="C489" s="49"/>
      <c r="D489" s="51" t="s">
        <v>70</v>
      </c>
      <c r="E489" s="519"/>
      <c r="F489" s="49"/>
      <c r="G489" s="47"/>
      <c r="H489" s="47"/>
      <c r="M489" s="89"/>
      <c r="N489" s="89"/>
      <c r="O489" s="95"/>
      <c r="P489" s="89"/>
      <c r="Q489" s="89"/>
      <c r="R489" s="89"/>
      <c r="S489" s="89"/>
    </row>
    <row r="490" spans="2:19">
      <c r="B490" s="47" t="s">
        <v>53</v>
      </c>
      <c r="C490" s="47"/>
      <c r="D490" s="48">
        <f>+[2]BAdvice!C22</f>
        <v>10012667159</v>
      </c>
      <c r="E490" s="519"/>
      <c r="F490" s="47"/>
      <c r="G490" s="47" t="s">
        <v>54</v>
      </c>
      <c r="H490" s="49"/>
      <c r="M490" s="89"/>
      <c r="N490" s="89"/>
      <c r="O490" s="91"/>
      <c r="P490" s="89"/>
      <c r="Q490" s="89"/>
      <c r="R490" s="89"/>
      <c r="S490" s="89"/>
    </row>
    <row r="491" spans="2:19">
      <c r="B491" s="47" t="s">
        <v>52</v>
      </c>
      <c r="C491" s="47"/>
      <c r="D491" s="48" t="str">
        <f>+D461</f>
        <v>PN-7656</v>
      </c>
      <c r="E491" s="519"/>
      <c r="F491" s="47"/>
      <c r="G491" s="47" t="s">
        <v>63</v>
      </c>
      <c r="H491" s="47"/>
      <c r="M491" s="89"/>
      <c r="N491" s="89"/>
      <c r="O491" s="91"/>
      <c r="P491" s="89"/>
      <c r="Q491" s="89"/>
      <c r="R491" s="89"/>
      <c r="S491" s="89"/>
    </row>
    <row r="492" spans="2:19">
      <c r="B492" s="47"/>
      <c r="C492" s="47"/>
      <c r="D492" s="48"/>
      <c r="E492" s="519"/>
      <c r="F492" s="47"/>
      <c r="G492" s="47"/>
      <c r="H492" s="47"/>
    </row>
    <row r="493" spans="2:19">
      <c r="B493" s="606" t="s">
        <v>65</v>
      </c>
      <c r="C493" s="607"/>
      <c r="D493" s="607"/>
      <c r="E493" s="608"/>
      <c r="F493" s="606" t="s">
        <v>55</v>
      </c>
      <c r="G493" s="607"/>
      <c r="H493" s="608"/>
    </row>
    <row r="494" spans="2:19">
      <c r="B494" s="52"/>
      <c r="C494" s="53"/>
      <c r="D494" s="54"/>
      <c r="E494" s="520"/>
      <c r="F494" s="52"/>
      <c r="G494" s="53"/>
      <c r="H494" s="55"/>
    </row>
    <row r="495" spans="2:19">
      <c r="B495" s="52" t="s">
        <v>56</v>
      </c>
      <c r="C495" s="53"/>
      <c r="D495" s="54"/>
      <c r="E495" s="520">
        <f>+'MAR 24'!C25</f>
        <v>66000</v>
      </c>
      <c r="F495" s="52" t="s">
        <v>11</v>
      </c>
      <c r="G495" s="53"/>
      <c r="H495" s="55">
        <f>+'MAR 24'!O25</f>
        <v>11563.199999999999</v>
      </c>
    </row>
    <row r="496" spans="2:19">
      <c r="B496" s="52" t="s">
        <v>276</v>
      </c>
      <c r="C496" s="53"/>
      <c r="D496" s="54"/>
      <c r="E496" s="527" t="str">
        <f>+'MAR 24'!D25</f>
        <v>6/22</v>
      </c>
      <c r="F496" s="47" t="s">
        <v>48</v>
      </c>
      <c r="G496" s="53"/>
      <c r="H496" s="55">
        <f>+'MAR 24'!P25</f>
        <v>8000</v>
      </c>
    </row>
    <row r="497" spans="2:19">
      <c r="B497" s="52" t="s">
        <v>8</v>
      </c>
      <c r="C497" s="53"/>
      <c r="D497" s="54"/>
      <c r="E497" s="521">
        <f>+'MAR 24'!H25</f>
        <v>30360</v>
      </c>
      <c r="F497" s="52" t="s">
        <v>18</v>
      </c>
      <c r="G497" s="53"/>
      <c r="H497" s="55">
        <f>+'MAR 24'!Q25</f>
        <v>30</v>
      </c>
      <c r="P497" s="85"/>
    </row>
    <row r="498" spans="2:19">
      <c r="B498" s="52" t="s">
        <v>9</v>
      </c>
      <c r="C498" s="53"/>
      <c r="D498" s="54"/>
      <c r="E498" s="520">
        <f>+'MAR 24'!I25</f>
        <v>11880</v>
      </c>
      <c r="F498" s="52" t="s">
        <v>13</v>
      </c>
      <c r="G498" s="53"/>
      <c r="H498" s="55">
        <f>+'MAR 24'!R25</f>
        <v>110</v>
      </c>
    </row>
    <row r="499" spans="2:19">
      <c r="B499" s="52" t="s">
        <v>59</v>
      </c>
      <c r="C499" s="53"/>
      <c r="D499" s="54"/>
      <c r="E499" s="520">
        <f>+'MAR 24'!J25</f>
        <v>1000</v>
      </c>
      <c r="F499" s="52" t="s">
        <v>58</v>
      </c>
      <c r="G499" s="53"/>
      <c r="H499" s="55">
        <f>+'MAR 24'!U25</f>
        <v>0</v>
      </c>
    </row>
    <row r="500" spans="2:19">
      <c r="B500" s="52" t="s">
        <v>290</v>
      </c>
      <c r="C500" s="53"/>
      <c r="D500" s="54"/>
      <c r="E500" s="520">
        <f>+'MAR 24'!K25</f>
        <v>2628</v>
      </c>
      <c r="F500" s="52" t="s">
        <v>67</v>
      </c>
      <c r="G500" s="53"/>
      <c r="H500" s="55">
        <f>+'MAR 24'!V25</f>
        <v>0</v>
      </c>
    </row>
    <row r="501" spans="2:19">
      <c r="B501" s="23" t="s">
        <v>107</v>
      </c>
      <c r="C501" s="53"/>
      <c r="D501" s="54"/>
      <c r="E501" s="520">
        <f>+'MAR 24'!L25</f>
        <v>0</v>
      </c>
      <c r="F501" s="52" t="s">
        <v>66</v>
      </c>
      <c r="G501" s="53"/>
      <c r="H501" s="55">
        <f>+'MAR 24'!W25</f>
        <v>0</v>
      </c>
    </row>
    <row r="502" spans="2:19">
      <c r="B502" s="23" t="s">
        <v>108</v>
      </c>
      <c r="C502" s="53"/>
      <c r="D502" s="54"/>
      <c r="E502" s="520">
        <f>+'MAR 24'!M25</f>
        <v>0</v>
      </c>
      <c r="F502" s="52" t="s">
        <v>37</v>
      </c>
      <c r="G502" s="53"/>
      <c r="H502" s="56">
        <f>+'MAR 24'!S25</f>
        <v>0</v>
      </c>
      <c r="S502" s="85"/>
    </row>
    <row r="503" spans="2:19">
      <c r="B503" s="23" t="s">
        <v>117</v>
      </c>
      <c r="C503" s="53"/>
      <c r="D503" s="54"/>
      <c r="E503" s="514"/>
      <c r="F503" s="52"/>
      <c r="G503" s="53"/>
      <c r="H503" s="55"/>
    </row>
    <row r="504" spans="2:19">
      <c r="B504" s="52"/>
      <c r="C504" s="53"/>
      <c r="D504" s="54"/>
      <c r="E504" s="520"/>
      <c r="F504" s="52"/>
      <c r="G504" s="53"/>
      <c r="H504" s="55"/>
    </row>
    <row r="505" spans="2:19">
      <c r="B505" s="52"/>
      <c r="C505" s="53"/>
      <c r="D505" s="54"/>
      <c r="E505" s="520"/>
      <c r="F505" s="52"/>
      <c r="G505" s="53"/>
      <c r="H505" s="55"/>
    </row>
    <row r="506" spans="2:19">
      <c r="B506" s="52"/>
      <c r="C506" s="53"/>
      <c r="D506" s="54"/>
      <c r="E506" s="520"/>
      <c r="F506" s="52"/>
      <c r="G506" s="53"/>
      <c r="H506" s="55"/>
    </row>
    <row r="507" spans="2:19">
      <c r="B507" s="57" t="s">
        <v>0</v>
      </c>
      <c r="C507" s="58"/>
      <c r="D507" s="59"/>
      <c r="E507" s="522">
        <f>SUM(E495:E506)+0</f>
        <v>111868</v>
      </c>
      <c r="F507" s="57"/>
      <c r="G507" s="58"/>
      <c r="H507" s="60">
        <f>SUM(H495:H506)</f>
        <v>19703.199999999997</v>
      </c>
      <c r="P507" s="85"/>
      <c r="S507" s="85"/>
    </row>
    <row r="508" spans="2:19">
      <c r="B508" s="57" t="s">
        <v>60</v>
      </c>
      <c r="C508" s="58"/>
      <c r="D508" s="59"/>
      <c r="E508" s="523">
        <f>+E507-H507</f>
        <v>92164.800000000003</v>
      </c>
      <c r="F508" s="58"/>
      <c r="G508" s="58"/>
      <c r="H508" s="61"/>
      <c r="P508" s="85"/>
    </row>
    <row r="509" spans="2:19">
      <c r="B509" s="49"/>
      <c r="C509" s="49"/>
      <c r="D509" s="62"/>
      <c r="E509" s="519"/>
      <c r="F509" s="49"/>
      <c r="G509" s="49"/>
      <c r="H509" s="49"/>
    </row>
    <row r="510" spans="2:19">
      <c r="B510" s="49"/>
      <c r="C510" s="49"/>
      <c r="D510" s="62"/>
      <c r="E510" s="519"/>
      <c r="F510" s="49"/>
      <c r="G510" s="49"/>
      <c r="H510" s="49"/>
    </row>
    <row r="511" spans="2:19" hidden="1">
      <c r="B511" s="47"/>
      <c r="C511" s="47" t="s">
        <v>46</v>
      </c>
      <c r="D511" s="48"/>
      <c r="E511" s="519"/>
      <c r="F511" s="47"/>
      <c r="G511" s="47"/>
      <c r="H511" s="47"/>
    </row>
    <row r="512" spans="2:19" hidden="1">
      <c r="B512" s="47"/>
      <c r="C512" s="47" t="s">
        <v>50</v>
      </c>
      <c r="D512" s="48"/>
      <c r="E512" s="519"/>
      <c r="F512" s="47"/>
      <c r="G512" s="47"/>
      <c r="H512" s="47"/>
    </row>
    <row r="513" spans="2:19" hidden="1">
      <c r="B513" s="47"/>
      <c r="C513" s="47"/>
      <c r="D513" s="48"/>
      <c r="E513" s="519"/>
      <c r="F513" s="47"/>
      <c r="G513" s="47"/>
      <c r="H513" s="47"/>
    </row>
    <row r="514" spans="2:19" hidden="1">
      <c r="B514" s="47" t="s">
        <v>62</v>
      </c>
      <c r="C514" s="47"/>
      <c r="D514" s="48" t="e">
        <f>+'MAR 24'!#REF!</f>
        <v>#REF!</v>
      </c>
      <c r="E514" s="519"/>
      <c r="F514" s="49"/>
      <c r="G514" s="47" t="s">
        <v>47</v>
      </c>
      <c r="H514" s="50">
        <f>+H458</f>
        <v>45352</v>
      </c>
    </row>
    <row r="515" spans="2:19" hidden="1">
      <c r="B515" s="47" t="s">
        <v>61</v>
      </c>
      <c r="C515" s="49"/>
      <c r="D515" s="51" t="s">
        <v>71</v>
      </c>
      <c r="E515" s="519"/>
      <c r="F515" s="49"/>
      <c r="G515" s="47"/>
      <c r="H515" s="47"/>
      <c r="M515" s="89"/>
      <c r="N515" s="89"/>
      <c r="O515" s="91"/>
      <c r="P515" s="89"/>
      <c r="Q515" s="89"/>
      <c r="R515" s="89"/>
      <c r="S515" s="92"/>
    </row>
    <row r="516" spans="2:19" hidden="1">
      <c r="B516" s="47" t="s">
        <v>53</v>
      </c>
      <c r="C516" s="47"/>
      <c r="D516" s="48" t="e">
        <f>+[2]BAdvice!#REF!</f>
        <v>#REF!</v>
      </c>
      <c r="E516" s="519"/>
      <c r="F516" s="47"/>
      <c r="G516" s="47" t="s">
        <v>54</v>
      </c>
      <c r="H516" s="49"/>
      <c r="M516" s="89"/>
      <c r="N516" s="89"/>
      <c r="O516" s="95"/>
      <c r="P516" s="89"/>
      <c r="Q516" s="89"/>
      <c r="R516" s="89"/>
      <c r="S516" s="89"/>
    </row>
    <row r="517" spans="2:19" hidden="1">
      <c r="B517" s="47" t="s">
        <v>52</v>
      </c>
      <c r="C517" s="47"/>
      <c r="D517" s="48" t="str">
        <f>+D491</f>
        <v>PN-7656</v>
      </c>
      <c r="E517" s="519"/>
      <c r="F517" s="47"/>
      <c r="G517" s="47" t="s">
        <v>63</v>
      </c>
      <c r="H517" s="47"/>
      <c r="M517" s="89"/>
      <c r="N517" s="89"/>
      <c r="O517" s="91"/>
      <c r="P517" s="89"/>
      <c r="Q517" s="89"/>
      <c r="R517" s="89"/>
      <c r="S517" s="89"/>
    </row>
    <row r="518" spans="2:19" hidden="1">
      <c r="B518" s="47"/>
      <c r="C518" s="47"/>
      <c r="D518" s="48"/>
      <c r="E518" s="519"/>
      <c r="F518" s="47"/>
      <c r="G518" s="47"/>
      <c r="H518" s="47"/>
      <c r="M518" s="89"/>
      <c r="N518" s="89"/>
      <c r="O518" s="91"/>
      <c r="P518" s="89"/>
      <c r="Q518" s="89"/>
      <c r="R518" s="89"/>
      <c r="S518" s="89"/>
    </row>
    <row r="519" spans="2:19" hidden="1">
      <c r="B519" s="603" t="s">
        <v>65</v>
      </c>
      <c r="C519" s="604"/>
      <c r="D519" s="604"/>
      <c r="E519" s="605"/>
      <c r="F519" s="603" t="s">
        <v>55</v>
      </c>
      <c r="G519" s="604"/>
      <c r="H519" s="605"/>
    </row>
    <row r="520" spans="2:19" hidden="1">
      <c r="B520" s="52"/>
      <c r="C520" s="53"/>
      <c r="D520" s="54"/>
      <c r="E520" s="520"/>
      <c r="F520" s="52"/>
      <c r="G520" s="53"/>
      <c r="H520" s="55"/>
    </row>
    <row r="521" spans="2:19" hidden="1">
      <c r="B521" s="52" t="s">
        <v>56</v>
      </c>
      <c r="C521" s="53"/>
      <c r="D521" s="54"/>
      <c r="E521" s="520" t="e">
        <f>+'MAR 24'!#REF!</f>
        <v>#REF!</v>
      </c>
      <c r="F521" s="52" t="s">
        <v>11</v>
      </c>
      <c r="G521" s="53"/>
      <c r="H521" s="55" t="e">
        <f>+'MAR 24'!#REF!</f>
        <v>#REF!</v>
      </c>
    </row>
    <row r="522" spans="2:19" hidden="1">
      <c r="B522" s="52" t="s">
        <v>276</v>
      </c>
      <c r="C522" s="53"/>
      <c r="D522" s="54"/>
      <c r="E522" s="520" t="e">
        <f>+'MAR 24'!#REF!</f>
        <v>#REF!</v>
      </c>
      <c r="F522" s="47" t="s">
        <v>48</v>
      </c>
      <c r="G522" s="53"/>
      <c r="H522" s="55" t="e">
        <f>+'MAR 24'!#REF!</f>
        <v>#REF!</v>
      </c>
    </row>
    <row r="523" spans="2:19" hidden="1">
      <c r="B523" s="52" t="s">
        <v>8</v>
      </c>
      <c r="C523" s="53"/>
      <c r="D523" s="54"/>
      <c r="E523" s="521" t="e">
        <f>+'MAR 24'!#REF!</f>
        <v>#REF!</v>
      </c>
      <c r="F523" s="52" t="s">
        <v>18</v>
      </c>
      <c r="G523" s="53"/>
      <c r="H523" s="55" t="e">
        <f>+'MAR 24'!#REF!</f>
        <v>#REF!</v>
      </c>
    </row>
    <row r="524" spans="2:19" hidden="1">
      <c r="B524" s="52" t="s">
        <v>9</v>
      </c>
      <c r="C524" s="53"/>
      <c r="D524" s="54"/>
      <c r="E524" s="520" t="e">
        <f>+'MAR 24'!#REF!</f>
        <v>#REF!</v>
      </c>
      <c r="F524" s="52" t="s">
        <v>13</v>
      </c>
      <c r="G524" s="53"/>
      <c r="H524" s="55" t="e">
        <f>+'MAR 24'!#REF!</f>
        <v>#REF!</v>
      </c>
      <c r="P524" s="85"/>
    </row>
    <row r="525" spans="2:19" hidden="1">
      <c r="B525" s="52" t="s">
        <v>59</v>
      </c>
      <c r="C525" s="53"/>
      <c r="D525" s="54"/>
      <c r="E525" s="520" t="e">
        <f>+'MAR 24'!#REF!</f>
        <v>#REF!</v>
      </c>
      <c r="F525" s="52" t="s">
        <v>58</v>
      </c>
      <c r="G525" s="53"/>
      <c r="H525" s="55" t="e">
        <f>+'MAR 24'!#REF!</f>
        <v>#REF!</v>
      </c>
    </row>
    <row r="526" spans="2:19" hidden="1">
      <c r="B526" s="52" t="s">
        <v>290</v>
      </c>
      <c r="C526" s="53"/>
      <c r="D526" s="54"/>
      <c r="E526" s="520" t="e">
        <f>+'MAR 24'!#REF!</f>
        <v>#REF!</v>
      </c>
      <c r="F526" s="52" t="s">
        <v>67</v>
      </c>
      <c r="G526" s="53"/>
      <c r="H526" s="55" t="e">
        <f>+'MAR 24'!#REF!</f>
        <v>#REF!</v>
      </c>
    </row>
    <row r="527" spans="2:19" hidden="1">
      <c r="B527" s="23" t="s">
        <v>107</v>
      </c>
      <c r="C527" s="53"/>
      <c r="D527" s="54"/>
      <c r="E527" s="520" t="e">
        <f>+'MAR 24'!#REF!</f>
        <v>#REF!</v>
      </c>
      <c r="F527" s="52" t="s">
        <v>66</v>
      </c>
      <c r="G527" s="53"/>
      <c r="H527" s="55" t="e">
        <f>+'MAR 24'!#REF!</f>
        <v>#REF!</v>
      </c>
    </row>
    <row r="528" spans="2:19" hidden="1">
      <c r="B528" s="23" t="s">
        <v>108</v>
      </c>
      <c r="C528" s="53"/>
      <c r="D528" s="54"/>
      <c r="E528" s="520" t="e">
        <f>+'MAR 24'!#REF!</f>
        <v>#REF!</v>
      </c>
      <c r="F528" s="52" t="s">
        <v>37</v>
      </c>
      <c r="G528" s="53"/>
      <c r="H528" s="56" t="e">
        <f>+'MAR 24'!#REF!</f>
        <v>#REF!</v>
      </c>
    </row>
    <row r="529" spans="2:19" hidden="1">
      <c r="B529" s="23" t="s">
        <v>117</v>
      </c>
      <c r="C529" s="53"/>
      <c r="D529" s="54"/>
      <c r="E529" s="514" t="e">
        <f>+'MAR 24'!#REF!</f>
        <v>#REF!</v>
      </c>
      <c r="F529" s="52"/>
      <c r="G529" s="53"/>
      <c r="H529" s="55"/>
      <c r="S529" s="85"/>
    </row>
    <row r="530" spans="2:19" hidden="1">
      <c r="B530" s="52"/>
      <c r="C530" s="53"/>
      <c r="D530" s="54"/>
      <c r="E530" s="520"/>
      <c r="F530" s="52"/>
      <c r="G530" s="53"/>
      <c r="H530" s="55"/>
    </row>
    <row r="531" spans="2:19" hidden="1">
      <c r="B531" s="52"/>
      <c r="C531" s="53"/>
      <c r="D531" s="54"/>
      <c r="E531" s="520"/>
      <c r="F531" s="52"/>
      <c r="G531" s="53"/>
      <c r="H531" s="55"/>
    </row>
    <row r="532" spans="2:19" hidden="1">
      <c r="B532" s="52"/>
      <c r="C532" s="53"/>
      <c r="D532" s="54"/>
      <c r="E532" s="520"/>
      <c r="F532" s="52"/>
      <c r="G532" s="53"/>
      <c r="H532" s="55"/>
    </row>
    <row r="533" spans="2:19" hidden="1">
      <c r="B533" s="57" t="s">
        <v>0</v>
      </c>
      <c r="C533" s="58"/>
      <c r="D533" s="59"/>
      <c r="E533" s="522" t="e">
        <f>SUM(E521:E532)</f>
        <v>#REF!</v>
      </c>
      <c r="F533" s="57"/>
      <c r="G533" s="58"/>
      <c r="H533" s="60" t="e">
        <f>SUM(H521:H532)</f>
        <v>#REF!</v>
      </c>
    </row>
    <row r="534" spans="2:19" hidden="1">
      <c r="B534" s="57" t="s">
        <v>60</v>
      </c>
      <c r="C534" s="58"/>
      <c r="D534" s="59"/>
      <c r="E534" s="523" t="e">
        <f>+E533-H533</f>
        <v>#REF!</v>
      </c>
      <c r="F534" s="58"/>
      <c r="G534" s="58"/>
      <c r="H534" s="61"/>
      <c r="P534" s="85"/>
      <c r="S534" s="85"/>
    </row>
    <row r="535" spans="2:19" hidden="1">
      <c r="B535" s="49"/>
      <c r="C535" s="49"/>
      <c r="D535" s="62"/>
      <c r="E535" s="519"/>
      <c r="F535" s="49"/>
      <c r="G535" s="49"/>
      <c r="H535" s="49"/>
      <c r="P535" s="85"/>
    </row>
    <row r="536" spans="2:19" hidden="1">
      <c r="B536" s="49"/>
      <c r="C536" s="49"/>
      <c r="D536" s="62"/>
      <c r="E536" s="519"/>
      <c r="F536" s="49"/>
      <c r="G536" s="49"/>
      <c r="H536" s="49"/>
    </row>
    <row r="537" spans="2:19">
      <c r="B537" s="49"/>
      <c r="C537" s="49"/>
      <c r="D537" s="62"/>
      <c r="E537" s="519"/>
      <c r="F537" s="49"/>
      <c r="G537" s="49"/>
      <c r="H537" s="49"/>
    </row>
    <row r="538" spans="2:19">
      <c r="B538" s="49"/>
      <c r="C538" s="49"/>
      <c r="D538" s="62"/>
      <c r="E538" s="519"/>
      <c r="F538" s="49"/>
      <c r="G538" s="49"/>
      <c r="H538" s="49"/>
    </row>
    <row r="539" spans="2:19">
      <c r="B539" s="47"/>
      <c r="C539" s="47" t="s">
        <v>46</v>
      </c>
      <c r="D539" s="48"/>
      <c r="E539" s="519"/>
      <c r="F539" s="47"/>
      <c r="G539" s="47"/>
      <c r="H539" s="47"/>
    </row>
    <row r="540" spans="2:19">
      <c r="B540" s="47"/>
      <c r="C540" s="47" t="s">
        <v>50</v>
      </c>
      <c r="D540" s="48"/>
      <c r="E540" s="519"/>
      <c r="F540" s="47"/>
      <c r="G540" s="47"/>
      <c r="H540" s="47"/>
    </row>
    <row r="541" spans="2:19">
      <c r="B541" s="47"/>
      <c r="C541" s="47"/>
      <c r="D541" s="48"/>
      <c r="E541" s="519"/>
      <c r="F541" s="47"/>
      <c r="G541" s="47"/>
      <c r="H541" s="47"/>
    </row>
    <row r="542" spans="2:19">
      <c r="B542" s="47" t="s">
        <v>62</v>
      </c>
      <c r="C542" s="47"/>
      <c r="D542" s="48" t="str">
        <f>+'MAR 24'!B27</f>
        <v>Kuldeep Singh</v>
      </c>
      <c r="E542" s="519"/>
      <c r="F542" s="49"/>
      <c r="G542" s="47" t="s">
        <v>47</v>
      </c>
      <c r="H542" s="50">
        <f>+H488</f>
        <v>45352</v>
      </c>
      <c r="M542" s="91"/>
      <c r="N542" s="91"/>
      <c r="O542" s="91"/>
      <c r="P542" s="91"/>
      <c r="Q542" s="91"/>
      <c r="R542" s="91"/>
      <c r="S542" s="96"/>
    </row>
    <row r="543" spans="2:19">
      <c r="B543" s="47" t="s">
        <v>61</v>
      </c>
      <c r="C543" s="49"/>
      <c r="D543" s="51" t="s">
        <v>226</v>
      </c>
      <c r="E543" s="519"/>
      <c r="F543" s="49"/>
      <c r="G543" s="47"/>
      <c r="H543" s="47"/>
      <c r="M543" s="91"/>
      <c r="N543" s="91"/>
      <c r="O543" s="95"/>
      <c r="P543" s="91"/>
      <c r="Q543" s="91"/>
      <c r="R543" s="91"/>
      <c r="S543" s="91"/>
    </row>
    <row r="544" spans="2:19">
      <c r="B544" s="47" t="s">
        <v>53</v>
      </c>
      <c r="C544" s="47"/>
      <c r="D544" s="48">
        <f>+[2]BAdvice!C23</f>
        <v>10012667182</v>
      </c>
      <c r="E544" s="519"/>
      <c r="F544" s="47"/>
      <c r="G544" s="47" t="s">
        <v>54</v>
      </c>
      <c r="H544" s="49"/>
      <c r="M544" s="91"/>
      <c r="N544" s="91"/>
      <c r="O544" s="91"/>
      <c r="P544" s="91"/>
      <c r="Q544" s="91"/>
      <c r="R544" s="91"/>
      <c r="S544" s="91"/>
    </row>
    <row r="545" spans="2:19">
      <c r="B545" s="47" t="s">
        <v>52</v>
      </c>
      <c r="C545" s="47"/>
      <c r="D545" s="48" t="str">
        <f>+D517</f>
        <v>PN-7656</v>
      </c>
      <c r="E545" s="519"/>
      <c r="F545" s="47"/>
      <c r="G545" s="47" t="s">
        <v>63</v>
      </c>
      <c r="H545" s="47"/>
      <c r="M545" s="91"/>
      <c r="N545" s="91"/>
      <c r="O545" s="91"/>
      <c r="P545" s="91"/>
      <c r="Q545" s="91"/>
      <c r="R545" s="91"/>
      <c r="S545" s="91"/>
    </row>
    <row r="546" spans="2:19">
      <c r="B546" s="47"/>
      <c r="C546" s="47"/>
      <c r="D546" s="48"/>
      <c r="E546" s="519"/>
      <c r="F546" s="47"/>
      <c r="G546" s="47"/>
      <c r="H546" s="47"/>
    </row>
    <row r="547" spans="2:19">
      <c r="B547" s="603" t="s">
        <v>65</v>
      </c>
      <c r="C547" s="604"/>
      <c r="D547" s="604"/>
      <c r="E547" s="605"/>
      <c r="F547" s="603" t="s">
        <v>55</v>
      </c>
      <c r="G547" s="604"/>
      <c r="H547" s="605"/>
    </row>
    <row r="548" spans="2:19">
      <c r="B548" s="52"/>
      <c r="C548" s="53"/>
      <c r="D548" s="54"/>
      <c r="E548" s="520"/>
      <c r="F548" s="52"/>
      <c r="G548" s="53"/>
      <c r="H548" s="55"/>
    </row>
    <row r="549" spans="2:19">
      <c r="B549" s="52" t="s">
        <v>56</v>
      </c>
      <c r="C549" s="53"/>
      <c r="D549" s="54"/>
      <c r="E549" s="520">
        <f>+'MAR 24'!C27</f>
        <v>60400</v>
      </c>
      <c r="F549" s="52" t="s">
        <v>11</v>
      </c>
      <c r="G549" s="53"/>
      <c r="H549" s="55">
        <f>+'MAR 24'!O27+1</f>
        <v>10583.08</v>
      </c>
    </row>
    <row r="550" spans="2:19">
      <c r="B550" s="52" t="s">
        <v>276</v>
      </c>
      <c r="C550" s="53"/>
      <c r="D550" s="54"/>
      <c r="E550" s="527" t="str">
        <f>+'MAR 24'!D27</f>
        <v>6/19</v>
      </c>
      <c r="F550" s="47" t="s">
        <v>48</v>
      </c>
      <c r="G550" s="53"/>
      <c r="H550" s="55">
        <f>+'MAR 24'!P27</f>
        <v>0</v>
      </c>
    </row>
    <row r="551" spans="2:19">
      <c r="B551" s="52" t="s">
        <v>8</v>
      </c>
      <c r="C551" s="53"/>
      <c r="D551" s="54"/>
      <c r="E551" s="521">
        <f>+'MAR 24'!H27</f>
        <v>27784</v>
      </c>
      <c r="F551" s="52" t="s">
        <v>18</v>
      </c>
      <c r="G551" s="53"/>
      <c r="H551" s="55">
        <f>+'MAR 24'!Q27</f>
        <v>30</v>
      </c>
      <c r="P551" s="85"/>
    </row>
    <row r="552" spans="2:19">
      <c r="B552" s="52" t="s">
        <v>9</v>
      </c>
      <c r="C552" s="53"/>
      <c r="D552" s="54"/>
      <c r="E552" s="520">
        <f>+'MAR 24'!I27</f>
        <v>0</v>
      </c>
      <c r="F552" s="52" t="s">
        <v>13</v>
      </c>
      <c r="G552" s="53"/>
      <c r="H552" s="55">
        <f>+'MAR 24'!R27</f>
        <v>110</v>
      </c>
    </row>
    <row r="553" spans="2:19">
      <c r="B553" s="52" t="s">
        <v>59</v>
      </c>
      <c r="C553" s="53"/>
      <c r="D553" s="54"/>
      <c r="E553" s="520">
        <f>+'MAR 24'!J27</f>
        <v>1000</v>
      </c>
      <c r="F553" s="52" t="s">
        <v>58</v>
      </c>
      <c r="G553" s="53"/>
      <c r="H553" s="55">
        <f>+'MAR 24'!U27</f>
        <v>173</v>
      </c>
    </row>
    <row r="554" spans="2:19">
      <c r="B554" s="52" t="s">
        <v>290</v>
      </c>
      <c r="C554" s="53"/>
      <c r="D554" s="54"/>
      <c r="E554" s="520">
        <f>+'MAR 24'!K27</f>
        <v>2628</v>
      </c>
      <c r="F554" s="52" t="s">
        <v>67</v>
      </c>
      <c r="G554" s="53"/>
      <c r="H554" s="55">
        <f>+'MAR 24'!V27</f>
        <v>0</v>
      </c>
    </row>
    <row r="555" spans="2:19">
      <c r="B555" s="23" t="s">
        <v>107</v>
      </c>
      <c r="C555" s="53"/>
      <c r="D555" s="54"/>
      <c r="E555" s="520">
        <f>+'MAR 24'!L27</f>
        <v>0</v>
      </c>
      <c r="F555" s="52" t="s">
        <v>66</v>
      </c>
      <c r="G555" s="53"/>
      <c r="H555" s="55">
        <f>+'MAR 24'!W27</f>
        <v>0</v>
      </c>
    </row>
    <row r="556" spans="2:19">
      <c r="B556" s="23" t="s">
        <v>108</v>
      </c>
      <c r="C556" s="53"/>
      <c r="D556" s="54"/>
      <c r="E556" s="520">
        <f>+'MAR 24'!M27</f>
        <v>0</v>
      </c>
      <c r="F556" s="52" t="s">
        <v>37</v>
      </c>
      <c r="G556" s="53"/>
      <c r="H556" s="56">
        <f>+'MAR 24'!S27</f>
        <v>0</v>
      </c>
      <c r="S556" s="85"/>
    </row>
    <row r="557" spans="2:19">
      <c r="B557" s="23" t="s">
        <v>117</v>
      </c>
      <c r="C557" s="53"/>
      <c r="D557" s="54"/>
      <c r="E557" s="514">
        <f>+'MAR 24'!F27</f>
        <v>0</v>
      </c>
      <c r="F557" s="52"/>
      <c r="G557" s="53"/>
      <c r="H557" s="55"/>
    </row>
    <row r="558" spans="2:19">
      <c r="B558" s="52"/>
      <c r="C558" s="53"/>
      <c r="D558" s="54"/>
      <c r="E558" s="520"/>
      <c r="F558" s="52"/>
      <c r="G558" s="53"/>
      <c r="H558" s="55"/>
    </row>
    <row r="559" spans="2:19">
      <c r="B559" s="52"/>
      <c r="C559" s="53"/>
      <c r="D559" s="54"/>
      <c r="E559" s="520"/>
      <c r="F559" s="52"/>
      <c r="G559" s="53"/>
      <c r="H559" s="55"/>
    </row>
    <row r="560" spans="2:19">
      <c r="B560" s="52"/>
      <c r="C560" s="53"/>
      <c r="D560" s="54"/>
      <c r="E560" s="520"/>
      <c r="F560" s="52"/>
      <c r="G560" s="53"/>
      <c r="H560" s="55"/>
    </row>
    <row r="561" spans="2:19">
      <c r="B561" s="57" t="s">
        <v>0</v>
      </c>
      <c r="C561" s="58"/>
      <c r="D561" s="59"/>
      <c r="E561" s="522">
        <f>SUM(E549:E560)</f>
        <v>91812</v>
      </c>
      <c r="F561" s="57"/>
      <c r="G561" s="58"/>
      <c r="H561" s="60">
        <f>SUM(H549:H560)</f>
        <v>10896.08</v>
      </c>
      <c r="P561" s="85"/>
      <c r="S561" s="85"/>
    </row>
    <row r="562" spans="2:19">
      <c r="B562" s="57" t="s">
        <v>60</v>
      </c>
      <c r="C562" s="58"/>
      <c r="D562" s="59"/>
      <c r="E562" s="523">
        <f>+E561-H561</f>
        <v>80915.92</v>
      </c>
      <c r="F562" s="58"/>
      <c r="G562" s="58"/>
      <c r="H562" s="61"/>
      <c r="P562" s="85"/>
    </row>
    <row r="563" spans="2:19">
      <c r="B563" s="49"/>
      <c r="C563" s="49"/>
      <c r="D563" s="62"/>
      <c r="E563" s="519"/>
      <c r="F563" s="49"/>
      <c r="G563" s="49"/>
      <c r="H563" s="49"/>
    </row>
    <row r="564" spans="2:19">
      <c r="B564" s="49"/>
      <c r="C564" s="49"/>
      <c r="D564" s="62"/>
      <c r="E564" s="519"/>
      <c r="F564" s="49"/>
      <c r="G564" s="49"/>
      <c r="H564" s="49"/>
    </row>
    <row r="565" spans="2:19">
      <c r="B565" s="49"/>
      <c r="C565" s="49"/>
      <c r="D565" s="62"/>
      <c r="E565" s="519"/>
      <c r="F565" s="49"/>
      <c r="G565" s="49"/>
      <c r="H565" s="49"/>
    </row>
    <row r="566" spans="2:19" hidden="1">
      <c r="B566" s="49"/>
      <c r="C566" s="49"/>
      <c r="D566" s="62"/>
      <c r="E566" s="519"/>
      <c r="F566" s="49"/>
      <c r="G566" s="49"/>
      <c r="H566" s="49"/>
    </row>
    <row r="567" spans="2:19" hidden="1">
      <c r="B567" s="47"/>
      <c r="C567" s="47" t="s">
        <v>46</v>
      </c>
      <c r="D567" s="48"/>
      <c r="E567" s="519"/>
      <c r="F567" s="47"/>
      <c r="G567" s="47"/>
      <c r="H567" s="47"/>
    </row>
    <row r="568" spans="2:19" hidden="1">
      <c r="B568" s="47"/>
      <c r="C568" s="47" t="s">
        <v>50</v>
      </c>
      <c r="D568" s="48"/>
      <c r="E568" s="519"/>
      <c r="F568" s="47"/>
      <c r="G568" s="47"/>
      <c r="H568" s="47"/>
    </row>
    <row r="569" spans="2:19" hidden="1">
      <c r="B569" s="47"/>
      <c r="C569" s="47"/>
      <c r="D569" s="48"/>
      <c r="E569" s="519"/>
      <c r="F569" s="47"/>
      <c r="G569" s="47"/>
      <c r="H569" s="47"/>
    </row>
    <row r="570" spans="2:19" hidden="1">
      <c r="B570" s="47" t="s">
        <v>62</v>
      </c>
      <c r="C570" s="47"/>
      <c r="D570" s="48" t="e">
        <f>+'MAR 24'!#REF!</f>
        <v>#REF!</v>
      </c>
      <c r="E570" s="519"/>
      <c r="F570" s="49"/>
      <c r="G570" s="47" t="s">
        <v>47</v>
      </c>
      <c r="H570" s="50">
        <f>+H514</f>
        <v>45352</v>
      </c>
    </row>
    <row r="571" spans="2:19" hidden="1">
      <c r="B571" s="47" t="s">
        <v>61</v>
      </c>
      <c r="C571" s="49"/>
      <c r="D571" s="51" t="s">
        <v>72</v>
      </c>
      <c r="E571" s="519"/>
      <c r="F571" s="49"/>
      <c r="G571" s="47"/>
      <c r="H571" s="47"/>
    </row>
    <row r="572" spans="2:19" hidden="1">
      <c r="B572" s="47" t="s">
        <v>53</v>
      </c>
      <c r="C572" s="47"/>
      <c r="D572" s="48" t="e">
        <f>+[2]BAdvice!#REF!</f>
        <v>#REF!</v>
      </c>
      <c r="E572" s="519"/>
      <c r="F572" s="47"/>
      <c r="G572" s="47" t="s">
        <v>54</v>
      </c>
      <c r="H572" s="49"/>
    </row>
    <row r="573" spans="2:19" hidden="1">
      <c r="B573" s="47" t="s">
        <v>52</v>
      </c>
      <c r="C573" s="47"/>
      <c r="D573" s="48" t="str">
        <f>+D545</f>
        <v>PN-7656</v>
      </c>
      <c r="E573" s="519"/>
      <c r="F573" s="47"/>
      <c r="G573" s="47" t="s">
        <v>63</v>
      </c>
      <c r="H573" s="47"/>
    </row>
    <row r="574" spans="2:19" hidden="1">
      <c r="B574" s="47"/>
      <c r="C574" s="47"/>
      <c r="D574" s="48"/>
      <c r="E574" s="519"/>
      <c r="F574" s="47"/>
      <c r="G574" s="47"/>
      <c r="H574" s="47"/>
    </row>
    <row r="575" spans="2:19" hidden="1">
      <c r="B575" s="603" t="s">
        <v>65</v>
      </c>
      <c r="C575" s="604"/>
      <c r="D575" s="604"/>
      <c r="E575" s="605"/>
      <c r="F575" s="603" t="s">
        <v>55</v>
      </c>
      <c r="G575" s="604"/>
      <c r="H575" s="605"/>
    </row>
    <row r="576" spans="2:19" hidden="1">
      <c r="B576" s="52"/>
      <c r="C576" s="53"/>
      <c r="D576" s="54"/>
      <c r="E576" s="520"/>
      <c r="F576" s="52"/>
      <c r="G576" s="53"/>
      <c r="H576" s="55"/>
    </row>
    <row r="577" spans="2:8" hidden="1">
      <c r="B577" s="52" t="s">
        <v>56</v>
      </c>
      <c r="C577" s="53"/>
      <c r="D577" s="54"/>
      <c r="E577" s="520" t="e">
        <f>+'MAR 24'!#REF!</f>
        <v>#REF!</v>
      </c>
      <c r="F577" s="52" t="s">
        <v>11</v>
      </c>
      <c r="G577" s="53"/>
      <c r="H577" s="55" t="e">
        <f>+'MAR 24'!#REF!</f>
        <v>#REF!</v>
      </c>
    </row>
    <row r="578" spans="2:8" hidden="1">
      <c r="B578" s="52" t="s">
        <v>276</v>
      </c>
      <c r="C578" s="53"/>
      <c r="D578" s="54"/>
      <c r="E578" s="520" t="e">
        <f>+'MAR 24'!#REF!</f>
        <v>#REF!</v>
      </c>
      <c r="F578" s="47" t="s">
        <v>48</v>
      </c>
      <c r="G578" s="53"/>
      <c r="H578" s="55" t="e">
        <f>+'MAR 24'!#REF!</f>
        <v>#REF!</v>
      </c>
    </row>
    <row r="579" spans="2:8" hidden="1">
      <c r="B579" s="52" t="s">
        <v>8</v>
      </c>
      <c r="C579" s="53"/>
      <c r="D579" s="54"/>
      <c r="E579" s="521" t="e">
        <f>+'MAR 24'!#REF!</f>
        <v>#REF!</v>
      </c>
      <c r="F579" s="52" t="s">
        <v>18</v>
      </c>
      <c r="G579" s="53"/>
      <c r="H579" s="55" t="e">
        <f>+'MAR 24'!#REF!</f>
        <v>#REF!</v>
      </c>
    </row>
    <row r="580" spans="2:8" hidden="1">
      <c r="B580" s="52" t="s">
        <v>9</v>
      </c>
      <c r="C580" s="53"/>
      <c r="D580" s="54"/>
      <c r="E580" s="520" t="e">
        <f>+'MAR 24'!#REF!</f>
        <v>#REF!</v>
      </c>
      <c r="F580" s="52" t="s">
        <v>13</v>
      </c>
      <c r="G580" s="53"/>
      <c r="H580" s="55" t="e">
        <f>+'MAR 24'!#REF!</f>
        <v>#REF!</v>
      </c>
    </row>
    <row r="581" spans="2:8" hidden="1">
      <c r="B581" s="52" t="s">
        <v>59</v>
      </c>
      <c r="C581" s="53"/>
      <c r="D581" s="54"/>
      <c r="E581" s="520" t="e">
        <f>+'MAR 24'!#REF!</f>
        <v>#REF!</v>
      </c>
      <c r="F581" s="52" t="s">
        <v>58</v>
      </c>
      <c r="G581" s="53"/>
      <c r="H581" s="55" t="e">
        <f>+'MAR 24'!#REF!</f>
        <v>#REF!</v>
      </c>
    </row>
    <row r="582" spans="2:8" hidden="1">
      <c r="B582" s="52" t="s">
        <v>290</v>
      </c>
      <c r="C582" s="53"/>
      <c r="D582" s="54"/>
      <c r="E582" s="520" t="e">
        <f>+'MAR 24'!#REF!</f>
        <v>#REF!</v>
      </c>
      <c r="F582" s="52" t="s">
        <v>67</v>
      </c>
      <c r="G582" s="53"/>
      <c r="H582" s="55" t="e">
        <f>+'MAR 24'!#REF!</f>
        <v>#REF!</v>
      </c>
    </row>
    <row r="583" spans="2:8" hidden="1">
      <c r="B583" s="23" t="s">
        <v>107</v>
      </c>
      <c r="C583" s="53"/>
      <c r="D583" s="54"/>
      <c r="E583" s="520" t="e">
        <f>+'MAR 24'!#REF!</f>
        <v>#REF!</v>
      </c>
      <c r="F583" s="52" t="s">
        <v>66</v>
      </c>
      <c r="G583" s="53"/>
      <c r="H583" s="55" t="e">
        <f>+'MAR 24'!#REF!</f>
        <v>#REF!</v>
      </c>
    </row>
    <row r="584" spans="2:8" hidden="1">
      <c r="B584" s="23" t="s">
        <v>108</v>
      </c>
      <c r="C584" s="53"/>
      <c r="D584" s="54"/>
      <c r="E584" s="520" t="e">
        <f>+'MAR 24'!#REF!</f>
        <v>#REF!</v>
      </c>
      <c r="F584" s="52" t="s">
        <v>37</v>
      </c>
      <c r="G584" s="53"/>
      <c r="H584" s="56" t="e">
        <f>+'MAR 24'!#REF!</f>
        <v>#REF!</v>
      </c>
    </row>
    <row r="585" spans="2:8" hidden="1">
      <c r="B585" s="23" t="s">
        <v>117</v>
      </c>
      <c r="C585" s="53"/>
      <c r="D585" s="54"/>
      <c r="E585" s="520"/>
      <c r="F585" s="52"/>
      <c r="G585" s="53"/>
      <c r="H585" s="55"/>
    </row>
    <row r="586" spans="2:8" hidden="1">
      <c r="B586" s="52"/>
      <c r="C586" s="53"/>
      <c r="D586" s="54"/>
      <c r="E586" s="520"/>
      <c r="F586" s="52"/>
      <c r="G586" s="53"/>
      <c r="H586" s="55"/>
    </row>
    <row r="587" spans="2:8" hidden="1">
      <c r="B587" s="52"/>
      <c r="C587" s="53"/>
      <c r="D587" s="54"/>
      <c r="E587" s="520"/>
      <c r="F587" s="52"/>
      <c r="G587" s="53"/>
      <c r="H587" s="55"/>
    </row>
    <row r="588" spans="2:8" hidden="1">
      <c r="B588" s="52"/>
      <c r="C588" s="53"/>
      <c r="D588" s="54"/>
      <c r="E588" s="520"/>
      <c r="F588" s="52"/>
      <c r="G588" s="53"/>
      <c r="H588" s="55"/>
    </row>
    <row r="589" spans="2:8" hidden="1">
      <c r="B589" s="57" t="s">
        <v>0</v>
      </c>
      <c r="C589" s="58"/>
      <c r="D589" s="59"/>
      <c r="E589" s="522" t="e">
        <f>SUM(E577:E588)</f>
        <v>#REF!</v>
      </c>
      <c r="F589" s="57"/>
      <c r="G589" s="58"/>
      <c r="H589" s="60" t="e">
        <f>SUM(H577:H588)</f>
        <v>#REF!</v>
      </c>
    </row>
    <row r="590" spans="2:8" hidden="1">
      <c r="B590" s="57" t="s">
        <v>60</v>
      </c>
      <c r="C590" s="58"/>
      <c r="D590" s="59"/>
      <c r="E590" s="523" t="e">
        <f>+E589-H589</f>
        <v>#REF!</v>
      </c>
      <c r="F590" s="58"/>
      <c r="G590" s="58"/>
      <c r="H590" s="61"/>
    </row>
    <row r="591" spans="2:8" hidden="1">
      <c r="B591" s="49"/>
      <c r="C591" s="49"/>
      <c r="D591" s="62"/>
      <c r="E591" s="519"/>
      <c r="F591" s="49"/>
      <c r="G591" s="49"/>
      <c r="H591" s="49"/>
    </row>
    <row r="592" spans="2:8" hidden="1">
      <c r="B592" s="49"/>
      <c r="C592" s="49"/>
      <c r="D592" s="62"/>
      <c r="E592" s="519"/>
      <c r="F592" s="49"/>
      <c r="G592" s="49"/>
      <c r="H592" s="49"/>
    </row>
    <row r="593" spans="2:8" hidden="1">
      <c r="B593" s="49"/>
      <c r="C593" s="49"/>
      <c r="D593" s="62"/>
      <c r="E593" s="519"/>
      <c r="F593" s="49"/>
      <c r="G593" s="49"/>
      <c r="H593" s="49"/>
    </row>
    <row r="594" spans="2:8" hidden="1">
      <c r="B594" s="49"/>
      <c r="C594" s="49"/>
      <c r="D594" s="62"/>
      <c r="E594" s="519"/>
      <c r="F594" s="49"/>
      <c r="G594" s="49"/>
      <c r="H594" s="49"/>
    </row>
    <row r="595" spans="2:8" hidden="1">
      <c r="B595" s="49"/>
      <c r="C595" s="49"/>
      <c r="D595" s="62"/>
      <c r="E595" s="519"/>
      <c r="F595" s="49"/>
      <c r="G595" s="49"/>
      <c r="H595" s="49"/>
    </row>
    <row r="596" spans="2:8" hidden="1">
      <c r="B596" s="47"/>
      <c r="C596" s="47" t="s">
        <v>46</v>
      </c>
      <c r="D596" s="48"/>
      <c r="E596" s="519"/>
      <c r="F596" s="47"/>
      <c r="G596" s="47"/>
      <c r="H596" s="47"/>
    </row>
    <row r="597" spans="2:8" hidden="1">
      <c r="B597" s="47"/>
      <c r="C597" s="47" t="s">
        <v>50</v>
      </c>
      <c r="D597" s="48"/>
      <c r="E597" s="519"/>
      <c r="F597" s="47"/>
      <c r="G597" s="47"/>
      <c r="H597" s="47"/>
    </row>
    <row r="598" spans="2:8" hidden="1">
      <c r="B598" s="47"/>
      <c r="C598" s="47"/>
      <c r="D598" s="48"/>
      <c r="E598" s="519"/>
      <c r="F598" s="47"/>
      <c r="G598" s="47"/>
      <c r="H598" s="47"/>
    </row>
    <row r="599" spans="2:8" hidden="1">
      <c r="B599" s="47" t="s">
        <v>62</v>
      </c>
      <c r="C599" s="47"/>
      <c r="D599" s="48" t="e">
        <f>+'MAR 24'!#REF!</f>
        <v>#REF!</v>
      </c>
      <c r="E599" s="519"/>
      <c r="F599" s="49"/>
      <c r="G599" s="47" t="s">
        <v>47</v>
      </c>
      <c r="H599" s="50">
        <f>+H570</f>
        <v>45352</v>
      </c>
    </row>
    <row r="600" spans="2:8" hidden="1">
      <c r="B600" s="47" t="s">
        <v>61</v>
      </c>
      <c r="C600" s="49"/>
      <c r="D600" s="51" t="s">
        <v>73</v>
      </c>
      <c r="E600" s="519"/>
      <c r="F600" s="49"/>
      <c r="G600" s="47"/>
      <c r="H600" s="47"/>
    </row>
    <row r="601" spans="2:8" hidden="1">
      <c r="B601" s="47" t="s">
        <v>53</v>
      </c>
      <c r="C601" s="47"/>
      <c r="D601" s="48" t="e">
        <f>+[2]BAdvice!#REF!</f>
        <v>#REF!</v>
      </c>
      <c r="E601" s="519"/>
      <c r="F601" s="47"/>
      <c r="G601" s="47" t="s">
        <v>54</v>
      </c>
      <c r="H601" s="49"/>
    </row>
    <row r="602" spans="2:8" hidden="1">
      <c r="B602" s="47" t="s">
        <v>52</v>
      </c>
      <c r="C602" s="47"/>
      <c r="D602" s="48" t="str">
        <f>+D573</f>
        <v>PN-7656</v>
      </c>
      <c r="E602" s="519"/>
      <c r="F602" s="47"/>
      <c r="G602" s="47" t="s">
        <v>63</v>
      </c>
      <c r="H602" s="47"/>
    </row>
    <row r="603" spans="2:8" hidden="1">
      <c r="B603" s="47"/>
      <c r="C603" s="47"/>
      <c r="D603" s="48"/>
      <c r="E603" s="519"/>
      <c r="F603" s="47"/>
      <c r="G603" s="47"/>
      <c r="H603" s="47"/>
    </row>
    <row r="604" spans="2:8" hidden="1">
      <c r="B604" s="603" t="s">
        <v>65</v>
      </c>
      <c r="C604" s="604"/>
      <c r="D604" s="604"/>
      <c r="E604" s="605"/>
      <c r="F604" s="603" t="s">
        <v>55</v>
      </c>
      <c r="G604" s="604"/>
      <c r="H604" s="605"/>
    </row>
    <row r="605" spans="2:8" hidden="1">
      <c r="B605" s="52"/>
      <c r="C605" s="53"/>
      <c r="D605" s="54"/>
      <c r="E605" s="520"/>
      <c r="F605" s="52"/>
      <c r="G605" s="53"/>
      <c r="H605" s="55"/>
    </row>
    <row r="606" spans="2:8" hidden="1">
      <c r="B606" s="52" t="s">
        <v>56</v>
      </c>
      <c r="C606" s="53"/>
      <c r="D606" s="54"/>
      <c r="E606" s="520" t="e">
        <f>+'MAR 24'!#REF!</f>
        <v>#REF!</v>
      </c>
      <c r="F606" s="52" t="s">
        <v>11</v>
      </c>
      <c r="G606" s="53"/>
      <c r="H606" s="55" t="e">
        <f>+'MAR 24'!#REF!</f>
        <v>#REF!</v>
      </c>
    </row>
    <row r="607" spans="2:8" hidden="1">
      <c r="B607" s="52" t="s">
        <v>276</v>
      </c>
      <c r="C607" s="53"/>
      <c r="D607" s="54"/>
      <c r="E607" s="520" t="e">
        <f>+'MAR 24'!#REF!</f>
        <v>#REF!</v>
      </c>
      <c r="F607" s="47" t="s">
        <v>48</v>
      </c>
      <c r="G607" s="53"/>
      <c r="H607" s="55" t="e">
        <f>+'MAR 24'!#REF!</f>
        <v>#REF!</v>
      </c>
    </row>
    <row r="608" spans="2:8" hidden="1">
      <c r="B608" s="52" t="s">
        <v>8</v>
      </c>
      <c r="C608" s="53"/>
      <c r="D608" s="54"/>
      <c r="E608" s="521" t="e">
        <f>+'MAR 24'!#REF!</f>
        <v>#REF!</v>
      </c>
      <c r="F608" s="52" t="s">
        <v>18</v>
      </c>
      <c r="G608" s="53"/>
      <c r="H608" s="55" t="e">
        <f>+'MAR 24'!#REF!</f>
        <v>#REF!</v>
      </c>
    </row>
    <row r="609" spans="2:8" hidden="1">
      <c r="B609" s="52" t="s">
        <v>9</v>
      </c>
      <c r="C609" s="53"/>
      <c r="D609" s="54"/>
      <c r="E609" s="520" t="e">
        <f>+'MAR 24'!#REF!</f>
        <v>#REF!</v>
      </c>
      <c r="F609" s="52" t="s">
        <v>13</v>
      </c>
      <c r="G609" s="53"/>
      <c r="H609" s="55" t="e">
        <f>+'MAR 24'!#REF!</f>
        <v>#REF!</v>
      </c>
    </row>
    <row r="610" spans="2:8" hidden="1">
      <c r="B610" s="52" t="s">
        <v>59</v>
      </c>
      <c r="C610" s="53"/>
      <c r="D610" s="54"/>
      <c r="E610" s="520" t="e">
        <f>+'MAR 24'!#REF!</f>
        <v>#REF!</v>
      </c>
      <c r="F610" s="52" t="s">
        <v>58</v>
      </c>
      <c r="G610" s="53"/>
      <c r="H610" s="55" t="e">
        <f>+'MAR 24'!#REF!</f>
        <v>#REF!</v>
      </c>
    </row>
    <row r="611" spans="2:8" hidden="1">
      <c r="B611" s="52" t="s">
        <v>290</v>
      </c>
      <c r="C611" s="53"/>
      <c r="D611" s="54"/>
      <c r="E611" s="520" t="e">
        <f>+'MAR 24'!#REF!</f>
        <v>#REF!</v>
      </c>
      <c r="F611" s="52" t="s">
        <v>67</v>
      </c>
      <c r="G611" s="53"/>
      <c r="H611" s="55" t="e">
        <f>+'MAR 24'!#REF!</f>
        <v>#REF!</v>
      </c>
    </row>
    <row r="612" spans="2:8" hidden="1">
      <c r="B612" s="52" t="s">
        <v>64</v>
      </c>
      <c r="C612" s="53"/>
      <c r="D612" s="54"/>
      <c r="E612" s="520" t="e">
        <f>+'MAR 24'!#REF!</f>
        <v>#REF!</v>
      </c>
      <c r="F612" s="52" t="s">
        <v>66</v>
      </c>
      <c r="G612" s="53"/>
      <c r="H612" s="55" t="e">
        <f>+'MAR 24'!#REF!</f>
        <v>#REF!</v>
      </c>
    </row>
    <row r="613" spans="2:8" hidden="1">
      <c r="B613" s="52" t="s">
        <v>16</v>
      </c>
      <c r="C613" s="53"/>
      <c r="D613" s="54"/>
      <c r="E613" s="520" t="e">
        <f>+'MAR 24'!#REF!</f>
        <v>#REF!</v>
      </c>
      <c r="F613" s="52" t="s">
        <v>37</v>
      </c>
      <c r="G613" s="53"/>
      <c r="H613" s="55" t="e">
        <f>+'MAR 24'!#REF!</f>
        <v>#REF!</v>
      </c>
    </row>
    <row r="614" spans="2:8" hidden="1">
      <c r="B614" s="52"/>
      <c r="C614" s="53"/>
      <c r="D614" s="54"/>
      <c r="E614" s="520"/>
      <c r="F614" s="52"/>
      <c r="G614" s="53"/>
      <c r="H614" s="55"/>
    </row>
    <row r="615" spans="2:8" hidden="1">
      <c r="B615" s="52"/>
      <c r="C615" s="53"/>
      <c r="D615" s="54"/>
      <c r="E615" s="520"/>
      <c r="F615" s="52"/>
      <c r="G615" s="53"/>
      <c r="H615" s="55"/>
    </row>
    <row r="616" spans="2:8" hidden="1">
      <c r="B616" s="52"/>
      <c r="C616" s="53"/>
      <c r="D616" s="54"/>
      <c r="E616" s="520"/>
      <c r="F616" s="52"/>
      <c r="G616" s="53"/>
      <c r="H616" s="55"/>
    </row>
    <row r="617" spans="2:8" hidden="1">
      <c r="B617" s="52"/>
      <c r="C617" s="53"/>
      <c r="D617" s="54"/>
      <c r="E617" s="520"/>
      <c r="F617" s="52"/>
      <c r="G617" s="53"/>
      <c r="H617" s="55"/>
    </row>
    <row r="618" spans="2:8" hidden="1">
      <c r="B618" s="57" t="s">
        <v>0</v>
      </c>
      <c r="C618" s="58"/>
      <c r="D618" s="59"/>
      <c r="E618" s="522" t="e">
        <f>SUM(E606:E617)</f>
        <v>#REF!</v>
      </c>
      <c r="F618" s="57"/>
      <c r="G618" s="58"/>
      <c r="H618" s="61" t="e">
        <f>SUM(H606:H617)</f>
        <v>#REF!</v>
      </c>
    </row>
    <row r="619" spans="2:8" hidden="1">
      <c r="B619" s="57" t="s">
        <v>60</v>
      </c>
      <c r="C619" s="58"/>
      <c r="D619" s="59"/>
      <c r="E619" s="523" t="e">
        <f>+E618-H618</f>
        <v>#REF!</v>
      </c>
      <c r="F619" s="58"/>
      <c r="G619" s="58"/>
      <c r="H619" s="61"/>
    </row>
    <row r="620" spans="2:8" hidden="1">
      <c r="B620" s="49"/>
      <c r="C620" s="49"/>
      <c r="D620" s="62"/>
      <c r="E620" s="519"/>
      <c r="F620" s="49"/>
      <c r="G620" s="49"/>
      <c r="H620" s="49"/>
    </row>
    <row r="621" spans="2:8" hidden="1">
      <c r="B621" s="49"/>
      <c r="C621" s="49"/>
      <c r="D621" s="62"/>
      <c r="E621" s="519"/>
      <c r="F621" s="49"/>
      <c r="G621" s="49"/>
      <c r="H621" s="49"/>
    </row>
    <row r="622" spans="2:8" hidden="1">
      <c r="B622" s="45"/>
      <c r="C622" s="45"/>
      <c r="D622" s="46"/>
      <c r="E622" s="518"/>
      <c r="F622" s="45"/>
      <c r="G622" s="45"/>
      <c r="H622" s="45"/>
    </row>
    <row r="623" spans="2:8" hidden="1">
      <c r="B623" s="45"/>
      <c r="C623" s="45"/>
      <c r="D623" s="46"/>
      <c r="E623" s="518"/>
      <c r="F623" s="45"/>
      <c r="G623" s="45"/>
      <c r="H623" s="45"/>
    </row>
    <row r="624" spans="2:8" hidden="1">
      <c r="B624" s="47"/>
      <c r="C624" s="47" t="s">
        <v>46</v>
      </c>
      <c r="D624" s="48"/>
      <c r="E624" s="519"/>
      <c r="F624" s="47"/>
      <c r="G624" s="47"/>
      <c r="H624" s="47"/>
    </row>
    <row r="625" spans="2:8" hidden="1">
      <c r="B625" s="47"/>
      <c r="C625" s="47" t="s">
        <v>50</v>
      </c>
      <c r="D625" s="48"/>
      <c r="E625" s="519"/>
      <c r="F625" s="47"/>
      <c r="G625" s="47"/>
      <c r="H625" s="47"/>
    </row>
    <row r="626" spans="2:8" hidden="1">
      <c r="B626" s="47"/>
      <c r="C626" s="47"/>
      <c r="D626" s="48"/>
      <c r="E626" s="519"/>
      <c r="F626" s="47"/>
      <c r="G626" s="47"/>
      <c r="H626" s="47"/>
    </row>
    <row r="627" spans="2:8" hidden="1">
      <c r="B627" s="47" t="s">
        <v>62</v>
      </c>
      <c r="C627" s="47"/>
      <c r="D627" s="48" t="e">
        <f>+'MAR 24'!#REF!</f>
        <v>#REF!</v>
      </c>
      <c r="E627" s="519"/>
      <c r="F627" s="49"/>
      <c r="G627" s="47" t="s">
        <v>47</v>
      </c>
      <c r="H627" s="50">
        <f>+H599</f>
        <v>45352</v>
      </c>
    </row>
    <row r="628" spans="2:8" hidden="1">
      <c r="B628" s="47" t="s">
        <v>61</v>
      </c>
      <c r="C628" s="49"/>
      <c r="D628" s="51" t="s">
        <v>74</v>
      </c>
      <c r="E628" s="519"/>
      <c r="F628" s="49"/>
      <c r="G628" s="47"/>
      <c r="H628" s="47"/>
    </row>
    <row r="629" spans="2:8" hidden="1">
      <c r="B629" s="47" t="s">
        <v>53</v>
      </c>
      <c r="C629" s="47"/>
      <c r="D629" s="48" t="e">
        <f>+[2]BAdvice!#REF!</f>
        <v>#REF!</v>
      </c>
      <c r="E629" s="519"/>
      <c r="F629" s="47"/>
      <c r="G629" s="47" t="s">
        <v>54</v>
      </c>
      <c r="H629" s="49"/>
    </row>
    <row r="630" spans="2:8" hidden="1">
      <c r="B630" s="47" t="s">
        <v>52</v>
      </c>
      <c r="C630" s="47"/>
      <c r="D630" s="48" t="str">
        <f>+D602</f>
        <v>PN-7656</v>
      </c>
      <c r="E630" s="519"/>
      <c r="F630" s="47"/>
      <c r="G630" s="47" t="s">
        <v>63</v>
      </c>
      <c r="H630" s="47"/>
    </row>
    <row r="631" spans="2:8" hidden="1">
      <c r="B631" s="47"/>
      <c r="C631" s="47"/>
      <c r="D631" s="48"/>
      <c r="E631" s="519"/>
      <c r="F631" s="47"/>
      <c r="G631" s="47"/>
      <c r="H631" s="47"/>
    </row>
    <row r="632" spans="2:8" hidden="1">
      <c r="B632" s="603" t="s">
        <v>65</v>
      </c>
      <c r="C632" s="604"/>
      <c r="D632" s="604"/>
      <c r="E632" s="605"/>
      <c r="F632" s="603" t="s">
        <v>55</v>
      </c>
      <c r="G632" s="604"/>
      <c r="H632" s="605"/>
    </row>
    <row r="633" spans="2:8" hidden="1">
      <c r="B633" s="52"/>
      <c r="C633" s="53"/>
      <c r="D633" s="54"/>
      <c r="E633" s="520"/>
      <c r="F633" s="52"/>
      <c r="G633" s="53"/>
      <c r="H633" s="55"/>
    </row>
    <row r="634" spans="2:8" hidden="1">
      <c r="B634" s="52" t="s">
        <v>56</v>
      </c>
      <c r="C634" s="53"/>
      <c r="D634" s="54"/>
      <c r="E634" s="520" t="e">
        <f>+'MAR 24'!#REF!</f>
        <v>#REF!</v>
      </c>
      <c r="F634" s="52" t="s">
        <v>11</v>
      </c>
      <c r="G634" s="53"/>
      <c r="H634" s="55" t="e">
        <f>+'MAR 24'!#REF!</f>
        <v>#REF!</v>
      </c>
    </row>
    <row r="635" spans="2:8" hidden="1">
      <c r="B635" s="52" t="s">
        <v>276</v>
      </c>
      <c r="C635" s="53"/>
      <c r="D635" s="54"/>
      <c r="E635" s="520" t="e">
        <f>+'MAR 24'!#REF!</f>
        <v>#REF!</v>
      </c>
      <c r="F635" s="47" t="s">
        <v>48</v>
      </c>
      <c r="G635" s="53"/>
      <c r="H635" s="55" t="e">
        <f>+'MAR 24'!#REF!</f>
        <v>#REF!</v>
      </c>
    </row>
    <row r="636" spans="2:8" hidden="1">
      <c r="B636" s="52" t="s">
        <v>8</v>
      </c>
      <c r="C636" s="53"/>
      <c r="D636" s="54"/>
      <c r="E636" s="521" t="e">
        <f>+'MAR 24'!#REF!</f>
        <v>#REF!</v>
      </c>
      <c r="F636" s="52" t="s">
        <v>18</v>
      </c>
      <c r="G636" s="53"/>
      <c r="H636" s="55" t="e">
        <f>+'MAR 24'!#REF!</f>
        <v>#REF!</v>
      </c>
    </row>
    <row r="637" spans="2:8" hidden="1">
      <c r="B637" s="52" t="s">
        <v>9</v>
      </c>
      <c r="C637" s="53"/>
      <c r="D637" s="54"/>
      <c r="E637" s="520" t="e">
        <f>+'MAR 24'!#REF!</f>
        <v>#REF!</v>
      </c>
      <c r="F637" s="52" t="s">
        <v>13</v>
      </c>
      <c r="G637" s="53"/>
      <c r="H637" s="55" t="e">
        <f>+'MAR 24'!#REF!</f>
        <v>#REF!</v>
      </c>
    </row>
    <row r="638" spans="2:8" hidden="1">
      <c r="B638" s="52" t="s">
        <v>59</v>
      </c>
      <c r="C638" s="53"/>
      <c r="D638" s="54"/>
      <c r="E638" s="520" t="e">
        <f>+'MAR 24'!#REF!</f>
        <v>#REF!</v>
      </c>
      <c r="F638" s="52" t="s">
        <v>58</v>
      </c>
      <c r="G638" s="53"/>
      <c r="H638" s="55" t="e">
        <f>+'MAR 24'!#REF!</f>
        <v>#REF!</v>
      </c>
    </row>
    <row r="639" spans="2:8" hidden="1">
      <c r="B639" s="52" t="s">
        <v>290</v>
      </c>
      <c r="C639" s="53"/>
      <c r="D639" s="54"/>
      <c r="E639" s="520" t="e">
        <f>+'MAR 24'!#REF!</f>
        <v>#REF!</v>
      </c>
      <c r="F639" s="52" t="s">
        <v>67</v>
      </c>
      <c r="G639" s="53"/>
      <c r="H639" s="55" t="e">
        <f>+'MAR 24'!#REF!</f>
        <v>#REF!</v>
      </c>
    </row>
    <row r="640" spans="2:8" hidden="1">
      <c r="B640" s="52" t="s">
        <v>64</v>
      </c>
      <c r="C640" s="53"/>
      <c r="D640" s="54"/>
      <c r="E640" s="520" t="e">
        <f>+'MAR 24'!#REF!</f>
        <v>#REF!</v>
      </c>
      <c r="F640" s="52" t="s">
        <v>66</v>
      </c>
      <c r="G640" s="53"/>
      <c r="H640" s="55" t="e">
        <f>+'MAR 24'!#REF!</f>
        <v>#REF!</v>
      </c>
    </row>
    <row r="641" spans="2:8" hidden="1">
      <c r="B641" s="52" t="s">
        <v>16</v>
      </c>
      <c r="C641" s="53"/>
      <c r="D641" s="54"/>
      <c r="E641" s="520" t="e">
        <f>+'MAR 24'!#REF!</f>
        <v>#REF!</v>
      </c>
      <c r="F641" s="52" t="s">
        <v>37</v>
      </c>
      <c r="G641" s="53"/>
      <c r="H641" s="55" t="e">
        <f>+'MAR 24'!#REF!</f>
        <v>#REF!</v>
      </c>
    </row>
    <row r="642" spans="2:8" hidden="1">
      <c r="B642" s="52"/>
      <c r="C642" s="53"/>
      <c r="D642" s="54"/>
      <c r="E642" s="520"/>
      <c r="F642" s="52"/>
      <c r="G642" s="53"/>
      <c r="H642" s="55"/>
    </row>
    <row r="643" spans="2:8" hidden="1">
      <c r="B643" s="52"/>
      <c r="C643" s="53"/>
      <c r="D643" s="54"/>
      <c r="E643" s="520"/>
      <c r="F643" s="52"/>
      <c r="G643" s="53"/>
      <c r="H643" s="55"/>
    </row>
    <row r="644" spans="2:8" hidden="1">
      <c r="B644" s="52"/>
      <c r="C644" s="53"/>
      <c r="D644" s="54"/>
      <c r="E644" s="520"/>
      <c r="F644" s="52"/>
      <c r="G644" s="53"/>
      <c r="H644" s="55"/>
    </row>
    <row r="645" spans="2:8" hidden="1">
      <c r="B645" s="52"/>
      <c r="C645" s="53"/>
      <c r="D645" s="54"/>
      <c r="E645" s="520"/>
      <c r="F645" s="52"/>
      <c r="G645" s="53"/>
      <c r="H645" s="55"/>
    </row>
    <row r="646" spans="2:8" hidden="1">
      <c r="B646" s="57" t="s">
        <v>0</v>
      </c>
      <c r="C646" s="58"/>
      <c r="D646" s="59"/>
      <c r="E646" s="522" t="e">
        <f>SUM(E634:E645)</f>
        <v>#REF!</v>
      </c>
      <c r="F646" s="57"/>
      <c r="G646" s="58"/>
      <c r="H646" s="61" t="e">
        <f>SUM(H634:H645)</f>
        <v>#REF!</v>
      </c>
    </row>
    <row r="647" spans="2:8" hidden="1">
      <c r="B647" s="57" t="s">
        <v>60</v>
      </c>
      <c r="C647" s="58"/>
      <c r="D647" s="59"/>
      <c r="E647" s="523" t="e">
        <f>+E646-H646</f>
        <v>#REF!</v>
      </c>
      <c r="F647" s="58"/>
      <c r="G647" s="58"/>
      <c r="H647" s="61"/>
    </row>
    <row r="648" spans="2:8" hidden="1">
      <c r="B648" s="49"/>
      <c r="C648" s="49"/>
      <c r="D648" s="62"/>
      <c r="E648" s="519"/>
      <c r="F648" s="49"/>
      <c r="G648" s="49"/>
      <c r="H648" s="49"/>
    </row>
    <row r="649" spans="2:8" hidden="1">
      <c r="B649" s="45"/>
      <c r="C649" s="45"/>
      <c r="D649" s="46"/>
      <c r="E649" s="518"/>
      <c r="F649" s="45"/>
      <c r="G649" s="45"/>
      <c r="H649" s="45"/>
    </row>
    <row r="650" spans="2:8" hidden="1">
      <c r="B650" s="45"/>
      <c r="C650" s="45"/>
      <c r="D650" s="46"/>
      <c r="E650" s="518"/>
      <c r="F650" s="45"/>
      <c r="G650" s="45"/>
      <c r="H650" s="45"/>
    </row>
    <row r="651" spans="2:8" hidden="1">
      <c r="B651" s="47"/>
      <c r="C651" s="47" t="s">
        <v>46</v>
      </c>
      <c r="D651" s="48"/>
      <c r="E651" s="519"/>
      <c r="F651" s="47"/>
      <c r="G651" s="47"/>
      <c r="H651" s="47"/>
    </row>
    <row r="652" spans="2:8" hidden="1">
      <c r="B652" s="47"/>
      <c r="C652" s="47" t="s">
        <v>50</v>
      </c>
      <c r="D652" s="48"/>
      <c r="E652" s="519"/>
      <c r="F652" s="47"/>
      <c r="G652" s="47"/>
      <c r="H652" s="47"/>
    </row>
    <row r="653" spans="2:8" hidden="1">
      <c r="B653" s="47"/>
      <c r="C653" s="47"/>
      <c r="D653" s="48"/>
      <c r="E653" s="519"/>
      <c r="F653" s="47"/>
      <c r="G653" s="47"/>
      <c r="H653" s="47"/>
    </row>
    <row r="654" spans="2:8" hidden="1">
      <c r="B654" s="47" t="s">
        <v>62</v>
      </c>
      <c r="C654" s="47"/>
      <c r="D654" s="87">
        <f>+'MAR 24'!B43</f>
        <v>0</v>
      </c>
      <c r="E654" s="519"/>
      <c r="F654" s="49"/>
      <c r="G654" s="47" t="s">
        <v>47</v>
      </c>
      <c r="H654" s="50">
        <f>+H627</f>
        <v>45352</v>
      </c>
    </row>
    <row r="655" spans="2:8" hidden="1">
      <c r="B655" s="47" t="s">
        <v>61</v>
      </c>
      <c r="C655" s="49"/>
      <c r="D655" s="51" t="s">
        <v>74</v>
      </c>
      <c r="E655" s="519"/>
      <c r="F655" s="49"/>
      <c r="G655" s="47"/>
      <c r="H655" s="47"/>
    </row>
    <row r="656" spans="2:8" hidden="1">
      <c r="B656" s="47" t="s">
        <v>53</v>
      </c>
      <c r="C656" s="47"/>
      <c r="D656" s="48">
        <f>+[2]BAdvice!C54</f>
        <v>0</v>
      </c>
      <c r="E656" s="519"/>
      <c r="F656" s="47"/>
      <c r="G656" s="47" t="s">
        <v>54</v>
      </c>
      <c r="H656" s="49"/>
    </row>
    <row r="657" spans="2:8" hidden="1">
      <c r="B657" s="47" t="s">
        <v>52</v>
      </c>
      <c r="C657" s="47"/>
      <c r="D657" s="48" t="str">
        <f>+D630</f>
        <v>PN-7656</v>
      </c>
      <c r="E657" s="519"/>
      <c r="F657" s="47"/>
      <c r="G657" s="47" t="s">
        <v>63</v>
      </c>
      <c r="H657" s="47"/>
    </row>
    <row r="658" spans="2:8" hidden="1">
      <c r="B658" s="47"/>
      <c r="C658" s="47"/>
      <c r="D658" s="48"/>
      <c r="E658" s="519"/>
      <c r="F658" s="47"/>
      <c r="G658" s="47"/>
      <c r="H658" s="47"/>
    </row>
    <row r="659" spans="2:8" hidden="1">
      <c r="B659" s="603" t="s">
        <v>65</v>
      </c>
      <c r="C659" s="604"/>
      <c r="D659" s="604"/>
      <c r="E659" s="605"/>
      <c r="F659" s="603" t="s">
        <v>55</v>
      </c>
      <c r="G659" s="604"/>
      <c r="H659" s="605"/>
    </row>
    <row r="660" spans="2:8" hidden="1">
      <c r="B660" s="52"/>
      <c r="C660" s="53"/>
      <c r="D660" s="54"/>
      <c r="E660" s="520"/>
      <c r="F660" s="52"/>
      <c r="G660" s="53"/>
      <c r="H660" s="55"/>
    </row>
    <row r="661" spans="2:8" hidden="1">
      <c r="B661" s="52" t="s">
        <v>56</v>
      </c>
      <c r="C661" s="53"/>
      <c r="D661" s="54"/>
      <c r="E661" s="520">
        <f>+'MAR 24'!C43</f>
        <v>0</v>
      </c>
      <c r="F661" s="52" t="s">
        <v>11</v>
      </c>
      <c r="G661" s="53"/>
      <c r="H661" s="55">
        <f>+'MAR 24'!O43</f>
        <v>0</v>
      </c>
    </row>
    <row r="662" spans="2:8" hidden="1">
      <c r="B662" s="52" t="s">
        <v>276</v>
      </c>
      <c r="C662" s="53"/>
      <c r="D662" s="54"/>
      <c r="E662" s="520">
        <f>+'MAR 24'!D43</f>
        <v>0</v>
      </c>
      <c r="F662" s="47" t="s">
        <v>48</v>
      </c>
      <c r="G662" s="53"/>
      <c r="H662" s="55">
        <f>+'MAR 24'!P43</f>
        <v>0</v>
      </c>
    </row>
    <row r="663" spans="2:8" hidden="1">
      <c r="B663" s="52" t="s">
        <v>8</v>
      </c>
      <c r="C663" s="53"/>
      <c r="D663" s="54"/>
      <c r="E663" s="521">
        <f>+'MAR 24'!H43</f>
        <v>0</v>
      </c>
      <c r="F663" s="52" t="s">
        <v>18</v>
      </c>
      <c r="G663" s="53"/>
      <c r="H663" s="55">
        <f>+'MAR 24'!Q43</f>
        <v>0</v>
      </c>
    </row>
    <row r="664" spans="2:8" hidden="1">
      <c r="B664" s="52" t="s">
        <v>9</v>
      </c>
      <c r="C664" s="53"/>
      <c r="D664" s="54"/>
      <c r="E664" s="520">
        <f>+'MAR 24'!I43</f>
        <v>0</v>
      </c>
      <c r="F664" s="52" t="s">
        <v>13</v>
      </c>
      <c r="G664" s="53"/>
      <c r="H664" s="55">
        <f>+'MAR 24'!R43</f>
        <v>0</v>
      </c>
    </row>
    <row r="665" spans="2:8" hidden="1">
      <c r="B665" s="52" t="s">
        <v>59</v>
      </c>
      <c r="C665" s="53"/>
      <c r="D665" s="54"/>
      <c r="E665" s="520">
        <f>+'MAR 24'!J43</f>
        <v>0</v>
      </c>
      <c r="F665" s="52" t="s">
        <v>58</v>
      </c>
      <c r="G665" s="53"/>
      <c r="H665" s="55">
        <f>+'MAR 24'!U43</f>
        <v>0</v>
      </c>
    </row>
    <row r="666" spans="2:8" hidden="1">
      <c r="B666" s="52" t="s">
        <v>290</v>
      </c>
      <c r="C666" s="53"/>
      <c r="D666" s="54"/>
      <c r="E666" s="520">
        <f>+'MAR 24'!K43</f>
        <v>0</v>
      </c>
      <c r="F666" s="52" t="s">
        <v>67</v>
      </c>
      <c r="G666" s="53"/>
      <c r="H666" s="55">
        <f>+'MAR 24'!V43</f>
        <v>0</v>
      </c>
    </row>
    <row r="667" spans="2:8" hidden="1">
      <c r="B667" s="23" t="s">
        <v>107</v>
      </c>
      <c r="C667" s="53"/>
      <c r="D667" s="54"/>
      <c r="E667" s="520">
        <f>+'MAR 24'!L43</f>
        <v>0</v>
      </c>
      <c r="F667" s="52" t="s">
        <v>66</v>
      </c>
      <c r="G667" s="53"/>
      <c r="H667" s="55">
        <f>+'MAR 24'!W43</f>
        <v>0</v>
      </c>
    </row>
    <row r="668" spans="2:8" hidden="1">
      <c r="B668" s="23" t="s">
        <v>108</v>
      </c>
      <c r="C668" s="53"/>
      <c r="D668" s="54"/>
      <c r="E668" s="520">
        <f>+'MAR 24'!M43</f>
        <v>0</v>
      </c>
      <c r="F668" s="52" t="s">
        <v>37</v>
      </c>
      <c r="G668" s="53"/>
      <c r="H668" s="56">
        <f>+'MAR 24'!S43</f>
        <v>0</v>
      </c>
    </row>
    <row r="669" spans="2:8" hidden="1">
      <c r="B669" s="23" t="s">
        <v>117</v>
      </c>
      <c r="C669" s="53"/>
      <c r="D669" s="54"/>
      <c r="E669" s="514">
        <f>+'MAR 24'!F43</f>
        <v>0</v>
      </c>
      <c r="F669" s="52"/>
      <c r="G669" s="53"/>
      <c r="H669" s="55"/>
    </row>
    <row r="670" spans="2:8" hidden="1">
      <c r="B670" s="52"/>
      <c r="C670" s="53"/>
      <c r="D670" s="54"/>
      <c r="E670" s="520"/>
      <c r="F670" s="52"/>
      <c r="G670" s="53"/>
      <c r="H670" s="55"/>
    </row>
    <row r="671" spans="2:8" hidden="1">
      <c r="B671" s="52"/>
      <c r="C671" s="53"/>
      <c r="D671" s="54"/>
      <c r="E671" s="520"/>
      <c r="F671" s="52"/>
      <c r="G671" s="53"/>
      <c r="H671" s="55"/>
    </row>
    <row r="672" spans="2:8" hidden="1">
      <c r="B672" s="52"/>
      <c r="C672" s="53"/>
      <c r="D672" s="54"/>
      <c r="E672" s="520"/>
      <c r="F672" s="52"/>
      <c r="G672" s="53"/>
      <c r="H672" s="55"/>
    </row>
    <row r="673" spans="2:8" hidden="1">
      <c r="B673" s="57" t="s">
        <v>0</v>
      </c>
      <c r="C673" s="58"/>
      <c r="D673" s="59"/>
      <c r="E673" s="522">
        <f>SUM(E661:E672)</f>
        <v>0</v>
      </c>
      <c r="F673" s="57"/>
      <c r="G673" s="58"/>
      <c r="H673" s="60">
        <f>SUM(H661:H672)</f>
        <v>0</v>
      </c>
    </row>
    <row r="674" spans="2:8" hidden="1">
      <c r="B674" s="57" t="s">
        <v>60</v>
      </c>
      <c r="C674" s="58"/>
      <c r="D674" s="59"/>
      <c r="E674" s="523">
        <f>+E673-H673</f>
        <v>0</v>
      </c>
      <c r="F674" s="58"/>
      <c r="G674" s="58"/>
      <c r="H674" s="61"/>
    </row>
    <row r="675" spans="2:8" hidden="1">
      <c r="B675" s="49"/>
      <c r="C675" s="49"/>
      <c r="D675" s="62"/>
      <c r="E675" s="519"/>
      <c r="F675" s="49"/>
      <c r="G675" s="49"/>
      <c r="H675" s="49"/>
    </row>
    <row r="676" spans="2:8" hidden="1">
      <c r="B676" s="49"/>
      <c r="C676" s="49"/>
      <c r="D676" s="62"/>
      <c r="E676" s="519"/>
      <c r="F676" s="49"/>
      <c r="G676" s="49"/>
      <c r="H676" s="49"/>
    </row>
    <row r="677" spans="2:8" hidden="1">
      <c r="B677" s="49"/>
      <c r="C677" s="49"/>
      <c r="D677" s="62"/>
      <c r="E677" s="519"/>
      <c r="F677" s="49"/>
      <c r="G677" s="49"/>
      <c r="H677" s="49"/>
    </row>
    <row r="678" spans="2:8" hidden="1">
      <c r="B678" s="47"/>
      <c r="C678" s="47" t="s">
        <v>46</v>
      </c>
      <c r="D678" s="48"/>
      <c r="E678" s="519"/>
      <c r="F678" s="47"/>
      <c r="G678" s="47"/>
      <c r="H678" s="47"/>
    </row>
    <row r="679" spans="2:8" hidden="1">
      <c r="B679" s="47"/>
      <c r="C679" s="47" t="s">
        <v>50</v>
      </c>
      <c r="D679" s="48"/>
      <c r="E679" s="519"/>
      <c r="F679" s="47"/>
      <c r="G679" s="47"/>
      <c r="H679" s="47"/>
    </row>
    <row r="680" spans="2:8" hidden="1">
      <c r="B680" s="47"/>
      <c r="C680" s="47"/>
      <c r="D680" s="48"/>
      <c r="E680" s="519"/>
      <c r="F680" s="47"/>
      <c r="G680" s="47"/>
      <c r="H680" s="47"/>
    </row>
    <row r="681" spans="2:8" hidden="1">
      <c r="B681" s="47" t="s">
        <v>62</v>
      </c>
      <c r="C681" s="47"/>
      <c r="D681" s="48">
        <f>+'MAR 24'!B44</f>
        <v>0</v>
      </c>
      <c r="E681" s="519"/>
      <c r="F681" s="49"/>
      <c r="G681" s="47" t="s">
        <v>47</v>
      </c>
      <c r="H681" s="50">
        <f>+H654</f>
        <v>45352</v>
      </c>
    </row>
    <row r="682" spans="2:8" hidden="1">
      <c r="B682" s="47" t="s">
        <v>61</v>
      </c>
      <c r="C682" s="49"/>
      <c r="D682" s="51" t="s">
        <v>74</v>
      </c>
      <c r="E682" s="519"/>
      <c r="F682" s="49"/>
      <c r="G682" s="47"/>
      <c r="H682" s="47"/>
    </row>
    <row r="683" spans="2:8" hidden="1">
      <c r="B683" s="47" t="s">
        <v>53</v>
      </c>
      <c r="C683" s="47"/>
      <c r="D683" s="48"/>
      <c r="E683" s="519"/>
      <c r="F683" s="47"/>
      <c r="G683" s="47" t="s">
        <v>54</v>
      </c>
      <c r="H683" s="49"/>
    </row>
    <row r="684" spans="2:8" hidden="1">
      <c r="B684" s="47" t="s">
        <v>52</v>
      </c>
      <c r="C684" s="47"/>
      <c r="D684" s="48" t="str">
        <f>+D657</f>
        <v>PN-7656</v>
      </c>
      <c r="E684" s="519"/>
      <c r="F684" s="47"/>
      <c r="G684" s="47" t="s">
        <v>63</v>
      </c>
      <c r="H684" s="47"/>
    </row>
    <row r="685" spans="2:8" hidden="1">
      <c r="B685" s="47"/>
      <c r="C685" s="47"/>
      <c r="D685" s="48"/>
      <c r="E685" s="519"/>
      <c r="F685" s="47"/>
      <c r="G685" s="47"/>
      <c r="H685" s="47"/>
    </row>
    <row r="686" spans="2:8" hidden="1">
      <c r="B686" s="603" t="s">
        <v>65</v>
      </c>
      <c r="C686" s="604"/>
      <c r="D686" s="604"/>
      <c r="E686" s="605"/>
      <c r="F686" s="603" t="s">
        <v>55</v>
      </c>
      <c r="G686" s="604"/>
      <c r="H686" s="605"/>
    </row>
    <row r="687" spans="2:8" hidden="1">
      <c r="B687" s="52"/>
      <c r="C687" s="53"/>
      <c r="D687" s="54"/>
      <c r="E687" s="520"/>
      <c r="F687" s="52"/>
      <c r="G687" s="53"/>
      <c r="H687" s="55"/>
    </row>
    <row r="688" spans="2:8" hidden="1">
      <c r="B688" s="52" t="s">
        <v>56</v>
      </c>
      <c r="C688" s="53"/>
      <c r="D688" s="54"/>
      <c r="E688" s="520">
        <f>+'MAR 24'!C44</f>
        <v>0</v>
      </c>
      <c r="F688" s="52" t="s">
        <v>11</v>
      </c>
      <c r="G688" s="53"/>
      <c r="H688" s="55">
        <f>+'MAR 24'!O44</f>
        <v>0</v>
      </c>
    </row>
    <row r="689" spans="2:8" hidden="1">
      <c r="B689" s="52" t="s">
        <v>276</v>
      </c>
      <c r="C689" s="53"/>
      <c r="D689" s="54"/>
      <c r="E689" s="520">
        <f>+'MAR 24'!D44</f>
        <v>0</v>
      </c>
      <c r="F689" s="47" t="s">
        <v>48</v>
      </c>
      <c r="G689" s="53"/>
      <c r="H689" s="55">
        <f>+'MAR 24'!P44</f>
        <v>0</v>
      </c>
    </row>
    <row r="690" spans="2:8" hidden="1">
      <c r="B690" s="52" t="s">
        <v>8</v>
      </c>
      <c r="C690" s="53"/>
      <c r="D690" s="54"/>
      <c r="E690" s="521">
        <f>+'MAR 24'!H44</f>
        <v>0</v>
      </c>
      <c r="F690" s="52" t="s">
        <v>18</v>
      </c>
      <c r="G690" s="53"/>
      <c r="H690" s="55">
        <f>+'MAR 24'!Q43</f>
        <v>0</v>
      </c>
    </row>
    <row r="691" spans="2:8" hidden="1">
      <c r="B691" s="52" t="s">
        <v>9</v>
      </c>
      <c r="C691" s="53"/>
      <c r="D691" s="54"/>
      <c r="E691" s="520">
        <f>+'MAR 24'!I43</f>
        <v>0</v>
      </c>
      <c r="F691" s="52" t="s">
        <v>13</v>
      </c>
      <c r="G691" s="53"/>
      <c r="H691" s="55">
        <f>+'MAR 24'!R43</f>
        <v>0</v>
      </c>
    </row>
    <row r="692" spans="2:8" hidden="1">
      <c r="B692" s="52" t="s">
        <v>59</v>
      </c>
      <c r="C692" s="53"/>
      <c r="D692" s="54"/>
      <c r="E692" s="520">
        <f>+'MAR 24'!J43</f>
        <v>0</v>
      </c>
      <c r="F692" s="52" t="s">
        <v>58</v>
      </c>
      <c r="G692" s="53"/>
      <c r="H692" s="55">
        <f>+'MAR 24'!U43</f>
        <v>0</v>
      </c>
    </row>
    <row r="693" spans="2:8" hidden="1">
      <c r="B693" s="52" t="s">
        <v>290</v>
      </c>
      <c r="C693" s="53"/>
      <c r="D693" s="54"/>
      <c r="E693" s="520">
        <f>+'MAR 24'!K43</f>
        <v>0</v>
      </c>
      <c r="F693" s="52" t="s">
        <v>67</v>
      </c>
      <c r="G693" s="53"/>
      <c r="H693" s="55">
        <f>+'MAR 24'!V43</f>
        <v>0</v>
      </c>
    </row>
    <row r="694" spans="2:8" hidden="1">
      <c r="B694" s="23" t="s">
        <v>107</v>
      </c>
      <c r="C694" s="53"/>
      <c r="D694" s="54"/>
      <c r="E694" s="520">
        <f>+'MAR 24'!L43</f>
        <v>0</v>
      </c>
      <c r="F694" s="52" t="s">
        <v>66</v>
      </c>
      <c r="G694" s="53"/>
      <c r="H694" s="55">
        <f>+'MAR 24'!W44</f>
        <v>0</v>
      </c>
    </row>
    <row r="695" spans="2:8" hidden="1">
      <c r="B695" s="23" t="s">
        <v>108</v>
      </c>
      <c r="C695" s="53"/>
      <c r="D695" s="54"/>
      <c r="E695" s="520">
        <f>+'MAR 24'!M44</f>
        <v>0</v>
      </c>
      <c r="F695" s="52" t="s">
        <v>37</v>
      </c>
      <c r="G695" s="53"/>
      <c r="H695" s="56">
        <f>+'MAR 24'!S43</f>
        <v>0</v>
      </c>
    </row>
    <row r="696" spans="2:8" hidden="1">
      <c r="B696" s="23" t="s">
        <v>117</v>
      </c>
      <c r="C696" s="53"/>
      <c r="D696" s="54"/>
      <c r="E696" s="514">
        <f>+'MAR 24'!F44-1</f>
        <v>-1</v>
      </c>
      <c r="F696" s="52"/>
      <c r="G696" s="53"/>
      <c r="H696" s="55"/>
    </row>
    <row r="697" spans="2:8" hidden="1">
      <c r="B697" s="52"/>
      <c r="C697" s="53"/>
      <c r="D697" s="54"/>
      <c r="E697" s="520"/>
      <c r="F697" s="52"/>
      <c r="G697" s="53"/>
      <c r="H697" s="55"/>
    </row>
    <row r="698" spans="2:8" hidden="1">
      <c r="B698" s="52"/>
      <c r="C698" s="53"/>
      <c r="D698" s="54"/>
      <c r="E698" s="520"/>
      <c r="F698" s="52"/>
      <c r="G698" s="53"/>
      <c r="H698" s="55"/>
    </row>
    <row r="699" spans="2:8" hidden="1">
      <c r="B699" s="52"/>
      <c r="C699" s="53"/>
      <c r="D699" s="54"/>
      <c r="E699" s="520"/>
      <c r="F699" s="52"/>
      <c r="G699" s="53"/>
      <c r="H699" s="55"/>
    </row>
    <row r="700" spans="2:8" hidden="1">
      <c r="B700" s="57" t="s">
        <v>0</v>
      </c>
      <c r="C700" s="58"/>
      <c r="D700" s="59"/>
      <c r="E700" s="522">
        <f>SUM(E688:E699)+1</f>
        <v>0</v>
      </c>
      <c r="F700" s="57"/>
      <c r="G700" s="58"/>
      <c r="H700" s="60">
        <f>SUM(H688:H699)</f>
        <v>0</v>
      </c>
    </row>
    <row r="701" spans="2:8" hidden="1">
      <c r="B701" s="57" t="s">
        <v>60</v>
      </c>
      <c r="C701" s="58"/>
      <c r="D701" s="59"/>
      <c r="E701" s="523">
        <f>+E700-H700</f>
        <v>0</v>
      </c>
      <c r="F701" s="58"/>
      <c r="G701" s="58"/>
      <c r="H701" s="61"/>
    </row>
    <row r="702" spans="2:8" hidden="1">
      <c r="B702" s="49"/>
      <c r="C702" s="49"/>
      <c r="D702" s="62"/>
      <c r="E702" s="519"/>
      <c r="F702" s="49"/>
      <c r="G702" s="49"/>
      <c r="H702" s="49"/>
    </row>
    <row r="703" spans="2:8" hidden="1">
      <c r="B703" s="49"/>
      <c r="C703" s="49"/>
      <c r="D703" s="62"/>
      <c r="E703" s="519"/>
      <c r="F703" s="49"/>
      <c r="G703" s="49"/>
      <c r="H703" s="49"/>
    </row>
    <row r="704" spans="2:8" hidden="1">
      <c r="B704" s="49"/>
      <c r="C704" s="49"/>
      <c r="D704" s="62"/>
      <c r="E704" s="519"/>
      <c r="F704" s="49"/>
      <c r="G704" s="49"/>
      <c r="H704" s="49"/>
    </row>
    <row r="705" spans="2:8" hidden="1">
      <c r="B705" s="49"/>
      <c r="C705" s="49"/>
      <c r="D705" s="62"/>
      <c r="E705" s="519"/>
      <c r="F705" s="49"/>
      <c r="G705" s="49"/>
      <c r="H705" s="49"/>
    </row>
    <row r="706" spans="2:8" hidden="1">
      <c r="B706" s="47"/>
      <c r="C706" s="47" t="s">
        <v>46</v>
      </c>
      <c r="D706" s="48"/>
      <c r="E706" s="519"/>
      <c r="F706" s="47"/>
      <c r="G706" s="47"/>
      <c r="H706" s="47"/>
    </row>
    <row r="707" spans="2:8" hidden="1">
      <c r="B707" s="47"/>
      <c r="C707" s="47" t="s">
        <v>50</v>
      </c>
      <c r="D707" s="48"/>
      <c r="E707" s="519"/>
      <c r="F707" s="47"/>
      <c r="G707" s="47"/>
      <c r="H707" s="47"/>
    </row>
    <row r="708" spans="2:8" hidden="1">
      <c r="B708" s="47"/>
      <c r="C708" s="47"/>
      <c r="D708" s="48"/>
      <c r="E708" s="519"/>
      <c r="F708" s="47"/>
      <c r="G708" s="47"/>
      <c r="H708" s="47"/>
    </row>
    <row r="709" spans="2:8" hidden="1">
      <c r="B709" s="47" t="s">
        <v>62</v>
      </c>
      <c r="C709" s="47"/>
      <c r="D709" s="48" t="e">
        <f>+'MAR 24'!#REF!</f>
        <v>#REF!</v>
      </c>
      <c r="E709" s="519"/>
      <c r="F709" s="49"/>
      <c r="G709" s="47" t="s">
        <v>47</v>
      </c>
      <c r="H709" s="50">
        <f>+H681</f>
        <v>45352</v>
      </c>
    </row>
    <row r="710" spans="2:8" hidden="1">
      <c r="B710" s="47" t="s">
        <v>61</v>
      </c>
      <c r="C710" s="49"/>
      <c r="D710" s="51" t="s">
        <v>74</v>
      </c>
      <c r="E710" s="519"/>
      <c r="F710" s="49"/>
      <c r="G710" s="47"/>
      <c r="H710" s="47"/>
    </row>
    <row r="711" spans="2:8" hidden="1">
      <c r="B711" s="47" t="s">
        <v>53</v>
      </c>
      <c r="C711" s="47"/>
      <c r="D711" s="48">
        <f>+[2]BAdvice!C101</f>
        <v>0</v>
      </c>
      <c r="E711" s="519"/>
      <c r="F711" s="47"/>
      <c r="G711" s="47" t="s">
        <v>54</v>
      </c>
      <c r="H711" s="49"/>
    </row>
    <row r="712" spans="2:8" hidden="1">
      <c r="B712" s="47" t="s">
        <v>52</v>
      </c>
      <c r="C712" s="47"/>
      <c r="D712" s="48" t="str">
        <f>+D684</f>
        <v>PN-7656</v>
      </c>
      <c r="E712" s="519"/>
      <c r="F712" s="47"/>
      <c r="G712" s="47" t="s">
        <v>63</v>
      </c>
      <c r="H712" s="47"/>
    </row>
    <row r="713" spans="2:8" hidden="1">
      <c r="B713" s="47"/>
      <c r="C713" s="47"/>
      <c r="D713" s="48"/>
      <c r="E713" s="519"/>
      <c r="F713" s="47"/>
      <c r="G713" s="47"/>
      <c r="H713" s="47"/>
    </row>
    <row r="714" spans="2:8" hidden="1">
      <c r="B714" s="603" t="s">
        <v>65</v>
      </c>
      <c r="C714" s="604"/>
      <c r="D714" s="604"/>
      <c r="E714" s="605"/>
      <c r="F714" s="603" t="s">
        <v>55</v>
      </c>
      <c r="G714" s="604"/>
      <c r="H714" s="605"/>
    </row>
    <row r="715" spans="2:8" hidden="1">
      <c r="B715" s="52"/>
      <c r="C715" s="53"/>
      <c r="D715" s="54"/>
      <c r="E715" s="520"/>
      <c r="F715" s="52"/>
      <c r="G715" s="53"/>
      <c r="H715" s="55"/>
    </row>
    <row r="716" spans="2:8" hidden="1">
      <c r="B716" s="52" t="s">
        <v>56</v>
      </c>
      <c r="C716" s="53"/>
      <c r="D716" s="54"/>
      <c r="E716" s="520" t="e">
        <f>+'MAR 24'!#REF!</f>
        <v>#REF!</v>
      </c>
      <c r="F716" s="52" t="s">
        <v>11</v>
      </c>
      <c r="G716" s="53"/>
      <c r="H716" s="55" t="e">
        <f>+'MAR 24'!#REF!</f>
        <v>#REF!</v>
      </c>
    </row>
    <row r="717" spans="2:8" hidden="1">
      <c r="B717" s="52" t="s">
        <v>276</v>
      </c>
      <c r="C717" s="53"/>
      <c r="D717" s="54"/>
      <c r="E717" s="520" t="e">
        <f>+'MAR 24'!#REF!</f>
        <v>#REF!</v>
      </c>
      <c r="F717" s="47" t="s">
        <v>48</v>
      </c>
      <c r="G717" s="53"/>
      <c r="H717" s="55" t="e">
        <f>+'MAR 24'!#REF!</f>
        <v>#REF!</v>
      </c>
    </row>
    <row r="718" spans="2:8" hidden="1">
      <c r="B718" s="52" t="s">
        <v>8</v>
      </c>
      <c r="C718" s="53"/>
      <c r="D718" s="54"/>
      <c r="E718" s="521" t="e">
        <f>+'MAR 24'!#REF!</f>
        <v>#REF!</v>
      </c>
      <c r="F718" s="52" t="s">
        <v>18</v>
      </c>
      <c r="G718" s="53"/>
      <c r="H718" s="55" t="e">
        <f>+'MAR 24'!#REF!</f>
        <v>#REF!</v>
      </c>
    </row>
    <row r="719" spans="2:8" hidden="1">
      <c r="B719" s="52" t="s">
        <v>9</v>
      </c>
      <c r="C719" s="53"/>
      <c r="D719" s="54"/>
      <c r="E719" s="520" t="e">
        <f>+'MAR 24'!#REF!</f>
        <v>#REF!</v>
      </c>
      <c r="F719" s="52" t="s">
        <v>13</v>
      </c>
      <c r="G719" s="53"/>
      <c r="H719" s="55" t="e">
        <f>+'MAR 24'!#REF!</f>
        <v>#REF!</v>
      </c>
    </row>
    <row r="720" spans="2:8" hidden="1">
      <c r="B720" s="52" t="s">
        <v>59</v>
      </c>
      <c r="C720" s="53"/>
      <c r="D720" s="54"/>
      <c r="E720" s="520" t="e">
        <f>+'MAR 24'!#REF!</f>
        <v>#REF!</v>
      </c>
      <c r="F720" s="52" t="s">
        <v>58</v>
      </c>
      <c r="G720" s="53"/>
      <c r="H720" s="55" t="e">
        <f>+'MAR 24'!#REF!</f>
        <v>#REF!</v>
      </c>
    </row>
    <row r="721" spans="2:16" hidden="1">
      <c r="B721" s="52" t="s">
        <v>290</v>
      </c>
      <c r="C721" s="53"/>
      <c r="D721" s="54"/>
      <c r="E721" s="520" t="e">
        <f>+'MAR 24'!#REF!</f>
        <v>#REF!</v>
      </c>
      <c r="F721" s="52" t="s">
        <v>67</v>
      </c>
      <c r="G721" s="53"/>
      <c r="H721" s="55" t="e">
        <f>+'MAR 24'!#REF!</f>
        <v>#REF!</v>
      </c>
    </row>
    <row r="722" spans="2:16" hidden="1">
      <c r="B722" s="23" t="s">
        <v>107</v>
      </c>
      <c r="C722" s="53"/>
      <c r="D722" s="54"/>
      <c r="E722" s="520" t="e">
        <f>+'MAR 24'!#REF!</f>
        <v>#REF!</v>
      </c>
      <c r="F722" s="52" t="s">
        <v>66</v>
      </c>
      <c r="G722" s="53"/>
      <c r="H722" s="55" t="e">
        <f>+'MAR 24'!#REF!</f>
        <v>#REF!</v>
      </c>
    </row>
    <row r="723" spans="2:16" hidden="1">
      <c r="B723" s="23" t="s">
        <v>108</v>
      </c>
      <c r="C723" s="53"/>
      <c r="D723" s="54"/>
      <c r="E723" s="520" t="e">
        <f>+'MAR 24'!#REF!</f>
        <v>#REF!</v>
      </c>
      <c r="F723" s="52" t="s">
        <v>37</v>
      </c>
      <c r="G723" s="53"/>
      <c r="H723" s="55" t="e">
        <f>+'MAR 24'!#REF!</f>
        <v>#REF!</v>
      </c>
    </row>
    <row r="724" spans="2:16" hidden="1">
      <c r="B724" s="52"/>
      <c r="C724" s="53"/>
      <c r="D724" s="54"/>
      <c r="E724" s="520"/>
      <c r="F724" s="52"/>
      <c r="G724" s="53"/>
      <c r="H724" s="55"/>
    </row>
    <row r="725" spans="2:16" hidden="1">
      <c r="B725" s="52"/>
      <c r="C725" s="53"/>
      <c r="D725" s="54"/>
      <c r="E725" s="520"/>
      <c r="F725" s="52"/>
      <c r="G725" s="53"/>
      <c r="H725" s="55"/>
    </row>
    <row r="726" spans="2:16" hidden="1">
      <c r="B726" s="52"/>
      <c r="C726" s="53"/>
      <c r="D726" s="54"/>
      <c r="E726" s="520"/>
      <c r="F726" s="52"/>
      <c r="G726" s="53"/>
      <c r="H726" s="55"/>
    </row>
    <row r="727" spans="2:16" hidden="1">
      <c r="B727" s="52"/>
      <c r="C727" s="53"/>
      <c r="D727" s="54"/>
      <c r="E727" s="520"/>
      <c r="F727" s="52"/>
      <c r="G727" s="53"/>
      <c r="H727" s="55"/>
    </row>
    <row r="728" spans="2:16" hidden="1">
      <c r="B728" s="57" t="s">
        <v>0</v>
      </c>
      <c r="C728" s="58"/>
      <c r="D728" s="59"/>
      <c r="E728" s="522" t="e">
        <f>SUM(E716:E727)</f>
        <v>#REF!</v>
      </c>
      <c r="F728" s="57"/>
      <c r="G728" s="58"/>
      <c r="H728" s="61" t="e">
        <f>SUM(H716:H727)</f>
        <v>#REF!</v>
      </c>
    </row>
    <row r="729" spans="2:16" hidden="1">
      <c r="B729" s="57" t="s">
        <v>60</v>
      </c>
      <c r="C729" s="58"/>
      <c r="D729" s="59"/>
      <c r="E729" s="523" t="e">
        <f>+E728-H728</f>
        <v>#REF!</v>
      </c>
      <c r="F729" s="58"/>
      <c r="G729" s="58"/>
      <c r="H729" s="61"/>
    </row>
    <row r="730" spans="2:16" hidden="1">
      <c r="B730" s="49"/>
      <c r="C730" s="49"/>
      <c r="D730" s="62"/>
      <c r="E730" s="519"/>
      <c r="F730" s="49"/>
      <c r="G730" s="49"/>
      <c r="H730" s="49"/>
    </row>
    <row r="731" spans="2:16" hidden="1">
      <c r="B731" s="45"/>
      <c r="C731" s="45"/>
      <c r="D731" s="46"/>
      <c r="E731" s="518"/>
      <c r="F731" s="45"/>
      <c r="G731" s="45"/>
      <c r="H731" s="45"/>
    </row>
    <row r="732" spans="2:16" hidden="1">
      <c r="B732" s="45"/>
      <c r="C732" s="45"/>
      <c r="D732" s="46"/>
      <c r="E732" s="518"/>
      <c r="F732" s="45"/>
      <c r="G732" s="45"/>
      <c r="H732" s="45"/>
    </row>
    <row r="733" spans="2:16" hidden="1">
      <c r="B733" s="45"/>
      <c r="C733" s="45"/>
      <c r="D733" s="46"/>
      <c r="E733" s="518"/>
      <c r="F733" s="45"/>
      <c r="G733" s="45"/>
      <c r="H733" s="45"/>
      <c r="O733" s="29"/>
      <c r="P733" s="31"/>
    </row>
    <row r="734" spans="2:16" hidden="1">
      <c r="B734" s="45"/>
      <c r="C734" s="45"/>
      <c r="D734" s="46"/>
      <c r="E734" s="518"/>
      <c r="F734" s="45"/>
      <c r="G734" s="45"/>
      <c r="H734" s="45"/>
      <c r="O734" s="28"/>
      <c r="P734" s="32"/>
    </row>
    <row r="735" spans="2:16" hidden="1">
      <c r="B735" s="47"/>
      <c r="C735" s="47" t="s">
        <v>46</v>
      </c>
      <c r="D735" s="48"/>
      <c r="E735" s="519"/>
      <c r="F735" s="47"/>
      <c r="G735" s="47"/>
      <c r="H735" s="47"/>
      <c r="O735" s="29"/>
      <c r="P735" s="31"/>
    </row>
    <row r="736" spans="2:16" hidden="1">
      <c r="B736" s="47"/>
      <c r="C736" s="47" t="s">
        <v>50</v>
      </c>
      <c r="D736" s="48"/>
      <c r="E736" s="519"/>
      <c r="F736" s="47"/>
      <c r="G736" s="47"/>
      <c r="H736" s="47"/>
      <c r="O736" s="29"/>
      <c r="P736" s="31"/>
    </row>
    <row r="737" spans="2:16" hidden="1">
      <c r="B737" s="47"/>
      <c r="C737" s="47"/>
      <c r="D737" s="48"/>
      <c r="E737" s="519"/>
      <c r="F737" s="47"/>
      <c r="G737" s="47"/>
      <c r="H737" s="47"/>
      <c r="O737" s="29"/>
      <c r="P737" s="31"/>
    </row>
    <row r="738" spans="2:16" hidden="1">
      <c r="B738" s="47" t="s">
        <v>62</v>
      </c>
      <c r="C738" s="47"/>
      <c r="D738" s="48">
        <f>+'MAR 24'!B45</f>
        <v>0</v>
      </c>
      <c r="E738" s="519"/>
      <c r="F738" s="49"/>
      <c r="G738" s="47" t="s">
        <v>47</v>
      </c>
      <c r="H738" s="50">
        <f>+H709</f>
        <v>45352</v>
      </c>
      <c r="O738" s="29"/>
      <c r="P738" s="31"/>
    </row>
    <row r="739" spans="2:16" hidden="1">
      <c r="B739" s="47" t="s">
        <v>61</v>
      </c>
      <c r="C739" s="49"/>
      <c r="D739" s="51" t="s">
        <v>74</v>
      </c>
      <c r="E739" s="519"/>
      <c r="F739" s="49"/>
      <c r="G739" s="47"/>
      <c r="H739" s="47"/>
      <c r="O739" s="29"/>
      <c r="P739" s="31"/>
    </row>
    <row r="740" spans="2:16" hidden="1">
      <c r="B740" s="47" t="s">
        <v>53</v>
      </c>
      <c r="C740" s="47"/>
      <c r="D740" s="48">
        <f>+[2]BAdvice!C130</f>
        <v>0</v>
      </c>
      <c r="E740" s="519"/>
      <c r="F740" s="47"/>
      <c r="G740" s="47" t="s">
        <v>54</v>
      </c>
      <c r="H740" s="49"/>
      <c r="O740" s="29"/>
      <c r="P740" s="31"/>
    </row>
    <row r="741" spans="2:16" hidden="1">
      <c r="B741" s="47" t="s">
        <v>52</v>
      </c>
      <c r="C741" s="47"/>
      <c r="D741" s="48" t="str">
        <f>+D712</f>
        <v>PN-7656</v>
      </c>
      <c r="E741" s="519"/>
      <c r="F741" s="47"/>
      <c r="G741" s="47" t="s">
        <v>63</v>
      </c>
      <c r="H741" s="47"/>
      <c r="O741" s="29"/>
      <c r="P741" s="33"/>
    </row>
    <row r="742" spans="2:16" hidden="1">
      <c r="B742" s="47"/>
      <c r="C742" s="47"/>
      <c r="D742" s="48"/>
      <c r="E742" s="519"/>
      <c r="F742" s="47"/>
      <c r="G742" s="47"/>
      <c r="H742" s="47"/>
      <c r="O742" s="28"/>
      <c r="P742" s="32"/>
    </row>
    <row r="743" spans="2:16" hidden="1">
      <c r="B743" s="603" t="s">
        <v>65</v>
      </c>
      <c r="C743" s="604"/>
      <c r="D743" s="604"/>
      <c r="E743" s="605"/>
      <c r="F743" s="603" t="s">
        <v>55</v>
      </c>
      <c r="G743" s="604"/>
      <c r="H743" s="605"/>
      <c r="O743" s="29"/>
      <c r="P743" s="31"/>
    </row>
    <row r="744" spans="2:16" hidden="1">
      <c r="B744" s="52"/>
      <c r="C744" s="53"/>
      <c r="D744" s="54"/>
      <c r="E744" s="520"/>
      <c r="F744" s="52"/>
      <c r="G744" s="53"/>
      <c r="H744" s="55"/>
      <c r="O744" s="29"/>
      <c r="P744" s="31"/>
    </row>
    <row r="745" spans="2:16" hidden="1">
      <c r="B745" s="52" t="s">
        <v>56</v>
      </c>
      <c r="C745" s="53"/>
      <c r="D745" s="54"/>
      <c r="E745" s="520">
        <f>+'MAR 24'!C45</f>
        <v>0</v>
      </c>
      <c r="F745" s="52" t="s">
        <v>11</v>
      </c>
      <c r="G745" s="53"/>
      <c r="H745" s="55">
        <f>+'MAR 24'!O45</f>
        <v>0</v>
      </c>
      <c r="O745" s="29"/>
      <c r="P745" s="31"/>
    </row>
    <row r="746" spans="2:16" hidden="1">
      <c r="B746" s="52" t="s">
        <v>276</v>
      </c>
      <c r="C746" s="53"/>
      <c r="D746" s="54"/>
      <c r="E746" s="520">
        <f>+'MAR 24'!D45</f>
        <v>0</v>
      </c>
      <c r="F746" s="47" t="s">
        <v>48</v>
      </c>
      <c r="G746" s="53"/>
      <c r="H746" s="55">
        <f>+'MAR 24'!P45</f>
        <v>0</v>
      </c>
      <c r="O746" s="29"/>
      <c r="P746" s="31"/>
    </row>
    <row r="747" spans="2:16" hidden="1">
      <c r="B747" s="52" t="s">
        <v>8</v>
      </c>
      <c r="C747" s="53"/>
      <c r="D747" s="54"/>
      <c r="E747" s="521">
        <f>+'MAR 24'!H45</f>
        <v>0</v>
      </c>
      <c r="F747" s="52" t="s">
        <v>18</v>
      </c>
      <c r="G747" s="53"/>
      <c r="H747" s="55">
        <f>+'MAR 24'!Q45</f>
        <v>0</v>
      </c>
      <c r="O747" s="29"/>
      <c r="P747" s="31"/>
    </row>
    <row r="748" spans="2:16" hidden="1">
      <c r="B748" s="52" t="s">
        <v>9</v>
      </c>
      <c r="C748" s="53"/>
      <c r="D748" s="54"/>
      <c r="E748" s="520">
        <f>+'MAR 24'!I45</f>
        <v>0</v>
      </c>
      <c r="F748" s="52" t="s">
        <v>13</v>
      </c>
      <c r="G748" s="53"/>
      <c r="H748" s="55">
        <f>+'MAR 24'!R45</f>
        <v>0</v>
      </c>
      <c r="O748" s="30"/>
      <c r="P748" s="31"/>
    </row>
    <row r="749" spans="2:16" hidden="1">
      <c r="B749" s="52" t="s">
        <v>59</v>
      </c>
      <c r="C749" s="53"/>
      <c r="D749" s="54"/>
      <c r="E749" s="520">
        <f>+'MAR 24'!J45</f>
        <v>0</v>
      </c>
      <c r="F749" s="52" t="s">
        <v>58</v>
      </c>
      <c r="G749" s="53"/>
      <c r="H749" s="55">
        <f>+'MAR 24'!U45</f>
        <v>0</v>
      </c>
      <c r="O749" s="30"/>
      <c r="P749" s="31"/>
    </row>
    <row r="750" spans="2:16" hidden="1">
      <c r="B750" s="52" t="s">
        <v>290</v>
      </c>
      <c r="C750" s="53"/>
      <c r="D750" s="54"/>
      <c r="E750" s="520">
        <f>+'MAR 24'!K45</f>
        <v>0</v>
      </c>
      <c r="F750" s="52" t="s">
        <v>67</v>
      </c>
      <c r="G750" s="53"/>
      <c r="H750" s="55">
        <f>+'MAR 24'!V45</f>
        <v>0</v>
      </c>
      <c r="O750" s="30"/>
      <c r="P750" s="31"/>
    </row>
    <row r="751" spans="2:16" hidden="1">
      <c r="B751" s="23" t="s">
        <v>107</v>
      </c>
      <c r="C751" s="53"/>
      <c r="D751" s="54"/>
      <c r="E751" s="520">
        <f>+'MAR 24'!L45</f>
        <v>0</v>
      </c>
      <c r="F751" s="52" t="s">
        <v>66</v>
      </c>
      <c r="G751" s="53"/>
      <c r="H751" s="55">
        <f>+'MAR 24'!W45</f>
        <v>0</v>
      </c>
      <c r="O751" s="30"/>
      <c r="P751" s="31"/>
    </row>
    <row r="752" spans="2:16" hidden="1">
      <c r="B752" s="23" t="s">
        <v>108</v>
      </c>
      <c r="C752" s="53"/>
      <c r="D752" s="54"/>
      <c r="E752" s="520">
        <f>+'MAR 24'!M45</f>
        <v>0</v>
      </c>
      <c r="F752" s="52" t="s">
        <v>37</v>
      </c>
      <c r="G752" s="53"/>
      <c r="H752" s="56">
        <f>+'MAR 24'!S45</f>
        <v>0</v>
      </c>
      <c r="O752" s="30"/>
      <c r="P752" s="31"/>
    </row>
    <row r="753" spans="2:16" hidden="1">
      <c r="B753" s="23" t="s">
        <v>117</v>
      </c>
      <c r="C753" s="53"/>
      <c r="D753" s="54"/>
      <c r="E753" s="520">
        <f>+'MAR 24'!F45</f>
        <v>0</v>
      </c>
      <c r="F753" s="52"/>
      <c r="G753" s="53"/>
      <c r="H753" s="55"/>
      <c r="O753" s="30"/>
      <c r="P753" s="31"/>
    </row>
    <row r="754" spans="2:16" hidden="1">
      <c r="B754" s="52"/>
      <c r="C754" s="53"/>
      <c r="D754" s="54"/>
      <c r="E754" s="520"/>
      <c r="F754" s="52"/>
      <c r="G754" s="53"/>
      <c r="H754" s="55"/>
      <c r="O754" s="30"/>
      <c r="P754" s="31"/>
    </row>
    <row r="755" spans="2:16" hidden="1">
      <c r="B755" s="52"/>
      <c r="C755" s="53"/>
      <c r="D755" s="54"/>
      <c r="E755" s="520"/>
      <c r="F755" s="52"/>
      <c r="G755" s="53"/>
      <c r="H755" s="55"/>
      <c r="O755" s="30"/>
      <c r="P755" s="31"/>
    </row>
    <row r="756" spans="2:16" hidden="1">
      <c r="B756" s="52"/>
      <c r="C756" s="53"/>
      <c r="D756" s="54"/>
      <c r="E756" s="520"/>
      <c r="F756" s="52"/>
      <c r="G756" s="53"/>
      <c r="H756" s="55"/>
      <c r="O756" s="28"/>
      <c r="P756" s="32"/>
    </row>
    <row r="757" spans="2:16" hidden="1">
      <c r="B757" s="57" t="s">
        <v>0</v>
      </c>
      <c r="C757" s="58"/>
      <c r="D757" s="59"/>
      <c r="E757" s="522">
        <f>SUM(E745:E756)</f>
        <v>0</v>
      </c>
      <c r="F757" s="57"/>
      <c r="G757" s="58"/>
      <c r="H757" s="60">
        <f>SUM(H745:H756)</f>
        <v>0</v>
      </c>
      <c r="O757" s="30"/>
      <c r="P757" s="31"/>
    </row>
    <row r="758" spans="2:16" hidden="1">
      <c r="B758" s="57" t="s">
        <v>60</v>
      </c>
      <c r="C758" s="58"/>
      <c r="D758" s="59"/>
      <c r="E758" s="523">
        <f>+E757-H757</f>
        <v>0</v>
      </c>
      <c r="F758" s="58"/>
      <c r="G758" s="58"/>
      <c r="H758" s="61"/>
      <c r="O758" s="30"/>
      <c r="P758" s="31"/>
    </row>
    <row r="759" spans="2:16" hidden="1">
      <c r="B759" s="49"/>
      <c r="C759" s="49"/>
      <c r="D759" s="62"/>
      <c r="E759" s="519"/>
      <c r="F759" s="49"/>
      <c r="G759" s="49"/>
      <c r="H759" s="49"/>
    </row>
    <row r="760" spans="2:16" hidden="1">
      <c r="B760" s="49"/>
      <c r="C760" s="49"/>
      <c r="D760" s="62"/>
      <c r="E760" s="519"/>
      <c r="F760" s="49"/>
      <c r="G760" s="49"/>
      <c r="H760" s="49"/>
    </row>
    <row r="761" spans="2:16" hidden="1">
      <c r="B761" s="49"/>
      <c r="C761" s="49"/>
      <c r="D761" s="62"/>
      <c r="E761" s="519"/>
      <c r="F761" s="49"/>
      <c r="G761" s="49"/>
      <c r="H761" s="49"/>
    </row>
    <row r="762" spans="2:16" hidden="1">
      <c r="B762" s="47"/>
      <c r="C762" s="47" t="s">
        <v>46</v>
      </c>
      <c r="D762" s="48"/>
      <c r="E762" s="519"/>
      <c r="F762" s="47"/>
      <c r="G762" s="47"/>
      <c r="H762" s="47"/>
    </row>
    <row r="763" spans="2:16" hidden="1">
      <c r="B763" s="47"/>
      <c r="C763" s="47" t="s">
        <v>50</v>
      </c>
      <c r="D763" s="48"/>
      <c r="E763" s="519"/>
      <c r="F763" s="47"/>
      <c r="G763" s="47"/>
      <c r="H763" s="47"/>
    </row>
    <row r="764" spans="2:16" hidden="1">
      <c r="B764" s="47"/>
      <c r="C764" s="47"/>
      <c r="D764" s="48"/>
      <c r="E764" s="519"/>
      <c r="F764" s="47"/>
      <c r="G764" s="47"/>
      <c r="H764" s="47"/>
    </row>
    <row r="765" spans="2:16" hidden="1">
      <c r="B765" s="47" t="s">
        <v>62</v>
      </c>
      <c r="C765" s="47"/>
      <c r="D765" s="48" t="e">
        <f>+'MAR 24'!#REF!</f>
        <v>#REF!</v>
      </c>
      <c r="E765" s="519"/>
      <c r="F765" s="49"/>
      <c r="G765" s="47" t="s">
        <v>47</v>
      </c>
      <c r="H765" s="50">
        <f>+H738</f>
        <v>45352</v>
      </c>
    </row>
    <row r="766" spans="2:16" hidden="1">
      <c r="B766" s="47" t="s">
        <v>61</v>
      </c>
      <c r="C766" s="49"/>
      <c r="D766" s="51" t="s">
        <v>74</v>
      </c>
      <c r="E766" s="519"/>
      <c r="F766" s="49"/>
      <c r="G766" s="47"/>
      <c r="H766" s="47"/>
    </row>
    <row r="767" spans="2:16" hidden="1">
      <c r="B767" s="47" t="s">
        <v>53</v>
      </c>
      <c r="C767" s="47"/>
      <c r="D767" s="48">
        <f>+[2]BAdvice!C157</f>
        <v>0</v>
      </c>
      <c r="E767" s="519"/>
      <c r="F767" s="47"/>
      <c r="G767" s="47" t="s">
        <v>54</v>
      </c>
      <c r="H767" s="49"/>
    </row>
    <row r="768" spans="2:16" hidden="1">
      <c r="B768" s="47" t="s">
        <v>52</v>
      </c>
      <c r="C768" s="47"/>
      <c r="D768" s="48" t="str">
        <f>+D741</f>
        <v>PN-7656</v>
      </c>
      <c r="E768" s="519"/>
      <c r="F768" s="47"/>
      <c r="G768" s="47" t="s">
        <v>63</v>
      </c>
      <c r="H768" s="47"/>
    </row>
    <row r="769" spans="2:8" hidden="1">
      <c r="B769" s="47"/>
      <c r="C769" s="47"/>
      <c r="D769" s="48"/>
      <c r="E769" s="519"/>
      <c r="F769" s="47"/>
      <c r="G769" s="47"/>
      <c r="H769" s="47"/>
    </row>
    <row r="770" spans="2:8" hidden="1">
      <c r="B770" s="603" t="s">
        <v>65</v>
      </c>
      <c r="C770" s="604"/>
      <c r="D770" s="604"/>
      <c r="E770" s="605"/>
      <c r="F770" s="603" t="s">
        <v>55</v>
      </c>
      <c r="G770" s="604"/>
      <c r="H770" s="605"/>
    </row>
    <row r="771" spans="2:8" hidden="1">
      <c r="B771" s="52"/>
      <c r="C771" s="53"/>
      <c r="D771" s="54"/>
      <c r="E771" s="520"/>
      <c r="F771" s="52"/>
      <c r="G771" s="53"/>
      <c r="H771" s="55"/>
    </row>
    <row r="772" spans="2:8" hidden="1">
      <c r="B772" s="52" t="s">
        <v>56</v>
      </c>
      <c r="C772" s="53"/>
      <c r="D772" s="54"/>
      <c r="E772" s="520" t="e">
        <f>+'MAR 24'!#REF!</f>
        <v>#REF!</v>
      </c>
      <c r="F772" s="52" t="s">
        <v>11</v>
      </c>
      <c r="G772" s="53"/>
      <c r="H772" s="55" t="e">
        <f>+'MAR 24'!#REF!</f>
        <v>#REF!</v>
      </c>
    </row>
    <row r="773" spans="2:8" hidden="1">
      <c r="B773" s="52" t="s">
        <v>276</v>
      </c>
      <c r="C773" s="53"/>
      <c r="D773" s="54"/>
      <c r="E773" s="520" t="e">
        <f>+'MAR 24'!#REF!</f>
        <v>#REF!</v>
      </c>
      <c r="F773" s="47" t="s">
        <v>48</v>
      </c>
      <c r="G773" s="53"/>
      <c r="H773" s="55" t="e">
        <f>+'MAR 24'!#REF!</f>
        <v>#REF!</v>
      </c>
    </row>
    <row r="774" spans="2:8" hidden="1">
      <c r="B774" s="52" t="s">
        <v>8</v>
      </c>
      <c r="C774" s="53"/>
      <c r="D774" s="54"/>
      <c r="E774" s="521" t="e">
        <f>+'MAR 24'!#REF!</f>
        <v>#REF!</v>
      </c>
      <c r="F774" s="52" t="s">
        <v>18</v>
      </c>
      <c r="G774" s="53"/>
      <c r="H774" s="55" t="e">
        <f>+'MAR 24'!#REF!</f>
        <v>#REF!</v>
      </c>
    </row>
    <row r="775" spans="2:8" hidden="1">
      <c r="B775" s="52" t="s">
        <v>9</v>
      </c>
      <c r="C775" s="53"/>
      <c r="D775" s="54"/>
      <c r="E775" s="520" t="e">
        <f>+'MAR 24'!#REF!</f>
        <v>#REF!</v>
      </c>
      <c r="F775" s="52" t="s">
        <v>13</v>
      </c>
      <c r="G775" s="53"/>
      <c r="H775" s="55" t="e">
        <f>+'MAR 24'!#REF!</f>
        <v>#REF!</v>
      </c>
    </row>
    <row r="776" spans="2:8" hidden="1">
      <c r="B776" s="52" t="s">
        <v>59</v>
      </c>
      <c r="C776" s="53"/>
      <c r="D776" s="54"/>
      <c r="E776" s="520" t="e">
        <f>+'MAR 24'!#REF!</f>
        <v>#REF!</v>
      </c>
      <c r="F776" s="52" t="s">
        <v>58</v>
      </c>
      <c r="G776" s="53"/>
      <c r="H776" s="55" t="e">
        <f>+'MAR 24'!#REF!</f>
        <v>#REF!</v>
      </c>
    </row>
    <row r="777" spans="2:8" hidden="1">
      <c r="B777" s="52" t="s">
        <v>290</v>
      </c>
      <c r="C777" s="53"/>
      <c r="D777" s="54"/>
      <c r="E777" s="520" t="e">
        <f>+'MAR 24'!#REF!</f>
        <v>#REF!</v>
      </c>
      <c r="F777" s="52" t="s">
        <v>67</v>
      </c>
      <c r="G777" s="53"/>
      <c r="H777" s="55" t="e">
        <f>+'MAR 24'!#REF!</f>
        <v>#REF!</v>
      </c>
    </row>
    <row r="778" spans="2:8" hidden="1">
      <c r="B778" s="23" t="s">
        <v>107</v>
      </c>
      <c r="C778" s="53"/>
      <c r="D778" s="54"/>
      <c r="E778" s="520" t="e">
        <f>+'MAR 24'!#REF!</f>
        <v>#REF!</v>
      </c>
      <c r="F778" s="52" t="s">
        <v>66</v>
      </c>
      <c r="G778" s="53"/>
      <c r="H778" s="55" t="e">
        <f>+'MAR 24'!#REF!</f>
        <v>#REF!</v>
      </c>
    </row>
    <row r="779" spans="2:8" hidden="1">
      <c r="B779" s="23" t="s">
        <v>108</v>
      </c>
      <c r="C779" s="53"/>
      <c r="D779" s="54"/>
      <c r="E779" s="520" t="e">
        <f>+'MAR 24'!#REF!</f>
        <v>#REF!</v>
      </c>
      <c r="F779" s="52" t="s">
        <v>37</v>
      </c>
      <c r="G779" s="53"/>
      <c r="H779" s="55" t="e">
        <f>+'MAR 24'!#REF!</f>
        <v>#REF!</v>
      </c>
    </row>
    <row r="780" spans="2:8" hidden="1">
      <c r="B780" s="23" t="s">
        <v>117</v>
      </c>
      <c r="C780" s="53"/>
      <c r="D780" s="54"/>
      <c r="E780" s="521" t="e">
        <f>+'MAR 24'!#REF!</f>
        <v>#REF!</v>
      </c>
      <c r="F780" s="52"/>
      <c r="G780" s="53"/>
      <c r="H780" s="55"/>
    </row>
    <row r="781" spans="2:8" hidden="1">
      <c r="B781" s="52"/>
      <c r="C781" s="53"/>
      <c r="D781" s="54"/>
      <c r="E781" s="520"/>
      <c r="F781" s="52"/>
      <c r="G781" s="53"/>
      <c r="H781" s="55"/>
    </row>
    <row r="782" spans="2:8" hidden="1">
      <c r="B782" s="52"/>
      <c r="C782" s="53"/>
      <c r="D782" s="54"/>
      <c r="E782" s="520"/>
      <c r="F782" s="52"/>
      <c r="G782" s="53"/>
      <c r="H782" s="55"/>
    </row>
    <row r="783" spans="2:8" hidden="1">
      <c r="B783" s="52"/>
      <c r="C783" s="53"/>
      <c r="D783" s="54"/>
      <c r="E783" s="520"/>
      <c r="F783" s="52"/>
      <c r="G783" s="53"/>
      <c r="H783" s="55"/>
    </row>
    <row r="784" spans="2:8" hidden="1">
      <c r="B784" s="57" t="s">
        <v>0</v>
      </c>
      <c r="C784" s="58"/>
      <c r="D784" s="59"/>
      <c r="E784" s="522" t="e">
        <f>SUM(E772:E783)+1</f>
        <v>#REF!</v>
      </c>
      <c r="F784" s="57"/>
      <c r="G784" s="58"/>
      <c r="H784" s="61" t="e">
        <f>SUM(H772:H783)</f>
        <v>#REF!</v>
      </c>
    </row>
    <row r="785" spans="2:8" hidden="1">
      <c r="B785" s="57" t="s">
        <v>60</v>
      </c>
      <c r="C785" s="58"/>
      <c r="D785" s="59"/>
      <c r="E785" s="523" t="e">
        <f>+E784-H784</f>
        <v>#REF!</v>
      </c>
      <c r="F785" s="58"/>
      <c r="G785" s="58"/>
      <c r="H785" s="61"/>
    </row>
    <row r="786" spans="2:8" hidden="1">
      <c r="B786" s="49"/>
      <c r="C786" s="49"/>
      <c r="D786" s="62"/>
      <c r="E786" s="519"/>
      <c r="F786" s="49"/>
      <c r="G786" s="49"/>
      <c r="H786" s="49"/>
    </row>
    <row r="787" spans="2:8" hidden="1">
      <c r="B787" s="49"/>
      <c r="C787" s="49"/>
      <c r="D787" s="62"/>
      <c r="E787" s="519"/>
      <c r="F787" s="49"/>
      <c r="G787" s="49"/>
      <c r="H787" s="49"/>
    </row>
    <row r="788" spans="2:8" hidden="1">
      <c r="B788" s="49"/>
      <c r="C788" s="49"/>
      <c r="D788" s="62"/>
      <c r="E788" s="519"/>
      <c r="F788" s="49"/>
      <c r="G788" s="49"/>
      <c r="H788" s="49"/>
    </row>
    <row r="789" spans="2:8" hidden="1">
      <c r="B789" s="49"/>
      <c r="C789" s="49"/>
      <c r="D789" s="62"/>
      <c r="E789" s="519"/>
      <c r="F789" s="49"/>
      <c r="G789" s="49"/>
      <c r="H789" s="49"/>
    </row>
    <row r="790" spans="2:8" hidden="1">
      <c r="B790" s="47"/>
      <c r="C790" s="47" t="s">
        <v>46</v>
      </c>
      <c r="D790" s="48"/>
      <c r="E790" s="519"/>
      <c r="F790" s="47"/>
      <c r="G790" s="47"/>
      <c r="H790" s="47"/>
    </row>
    <row r="791" spans="2:8" hidden="1">
      <c r="B791" s="47"/>
      <c r="C791" s="47" t="s">
        <v>50</v>
      </c>
      <c r="D791" s="48"/>
      <c r="E791" s="519"/>
      <c r="F791" s="47"/>
      <c r="G791" s="47"/>
      <c r="H791" s="47"/>
    </row>
    <row r="792" spans="2:8" hidden="1">
      <c r="B792" s="47"/>
      <c r="C792" s="47"/>
      <c r="D792" s="48"/>
      <c r="E792" s="519"/>
      <c r="F792" s="47"/>
      <c r="G792" s="47"/>
      <c r="H792" s="47"/>
    </row>
    <row r="793" spans="2:8" hidden="1">
      <c r="B793" s="47" t="s">
        <v>62</v>
      </c>
      <c r="C793" s="47"/>
      <c r="D793" s="48" t="e">
        <f>+'MAR 24'!#REF!</f>
        <v>#REF!</v>
      </c>
      <c r="E793" s="519"/>
      <c r="F793" s="49"/>
      <c r="G793" s="47" t="s">
        <v>47</v>
      </c>
      <c r="H793" s="50">
        <f>+H765</f>
        <v>45352</v>
      </c>
    </row>
    <row r="794" spans="2:8" hidden="1">
      <c r="B794" s="47" t="s">
        <v>61</v>
      </c>
      <c r="C794" s="49"/>
      <c r="D794" s="51" t="s">
        <v>77</v>
      </c>
      <c r="E794" s="519"/>
      <c r="F794" s="49"/>
      <c r="G794" s="47"/>
      <c r="H794" s="47"/>
    </row>
    <row r="795" spans="2:8" hidden="1">
      <c r="B795" s="47" t="s">
        <v>53</v>
      </c>
      <c r="C795" s="47"/>
      <c r="D795" s="48">
        <f>+[2]BAdvice!C185</f>
        <v>0</v>
      </c>
      <c r="E795" s="519"/>
      <c r="F795" s="47"/>
      <c r="G795" s="47" t="s">
        <v>54</v>
      </c>
      <c r="H795" s="49"/>
    </row>
    <row r="796" spans="2:8" hidden="1">
      <c r="B796" s="47" t="s">
        <v>52</v>
      </c>
      <c r="C796" s="47"/>
      <c r="D796" s="48" t="str">
        <f>+D768</f>
        <v>PN-7656</v>
      </c>
      <c r="E796" s="519"/>
      <c r="F796" s="47"/>
      <c r="G796" s="47" t="s">
        <v>63</v>
      </c>
      <c r="H796" s="47"/>
    </row>
    <row r="797" spans="2:8" hidden="1">
      <c r="B797" s="47"/>
      <c r="C797" s="47"/>
      <c r="D797" s="48"/>
      <c r="E797" s="519"/>
      <c r="F797" s="47"/>
      <c r="G797" s="47"/>
      <c r="H797" s="47"/>
    </row>
    <row r="798" spans="2:8" hidden="1">
      <c r="B798" s="603" t="s">
        <v>65</v>
      </c>
      <c r="C798" s="604"/>
      <c r="D798" s="604"/>
      <c r="E798" s="605"/>
      <c r="F798" s="603" t="s">
        <v>55</v>
      </c>
      <c r="G798" s="604"/>
      <c r="H798" s="605"/>
    </row>
    <row r="799" spans="2:8" hidden="1">
      <c r="B799" s="52"/>
      <c r="C799" s="53"/>
      <c r="D799" s="54"/>
      <c r="E799" s="520"/>
      <c r="F799" s="52"/>
      <c r="G799" s="53"/>
      <c r="H799" s="55"/>
    </row>
    <row r="800" spans="2:8" hidden="1">
      <c r="B800" s="52" t="s">
        <v>56</v>
      </c>
      <c r="C800" s="53"/>
      <c r="D800" s="54"/>
      <c r="E800" s="520" t="e">
        <f>+'MAR 24'!#REF!</f>
        <v>#REF!</v>
      </c>
      <c r="F800" s="52" t="s">
        <v>11</v>
      </c>
      <c r="G800" s="53"/>
      <c r="H800" s="55" t="e">
        <f>+'MAR 24'!#REF!</f>
        <v>#REF!</v>
      </c>
    </row>
    <row r="801" spans="2:8" hidden="1">
      <c r="B801" s="52" t="s">
        <v>276</v>
      </c>
      <c r="C801" s="53"/>
      <c r="D801" s="54"/>
      <c r="E801" s="520" t="e">
        <f>+'MAR 24'!#REF!</f>
        <v>#REF!</v>
      </c>
      <c r="F801" s="47" t="s">
        <v>48</v>
      </c>
      <c r="G801" s="53"/>
      <c r="H801" s="55" t="e">
        <f>+'MAR 24'!#REF!</f>
        <v>#REF!</v>
      </c>
    </row>
    <row r="802" spans="2:8" hidden="1">
      <c r="B802" s="52" t="s">
        <v>8</v>
      </c>
      <c r="C802" s="53"/>
      <c r="D802" s="54"/>
      <c r="E802" s="521" t="e">
        <f>+'MAR 24'!#REF!</f>
        <v>#REF!</v>
      </c>
      <c r="F802" s="52" t="s">
        <v>18</v>
      </c>
      <c r="G802" s="53"/>
      <c r="H802" s="55" t="e">
        <f>+'MAR 24'!#REF!</f>
        <v>#REF!</v>
      </c>
    </row>
    <row r="803" spans="2:8" hidden="1">
      <c r="B803" s="52" t="s">
        <v>9</v>
      </c>
      <c r="C803" s="53"/>
      <c r="D803" s="54"/>
      <c r="E803" s="520" t="e">
        <f>+'MAR 24'!#REF!</f>
        <v>#REF!</v>
      </c>
      <c r="F803" s="52" t="s">
        <v>13</v>
      </c>
      <c r="G803" s="53"/>
      <c r="H803" s="55" t="e">
        <f>+'MAR 24'!#REF!</f>
        <v>#REF!</v>
      </c>
    </row>
    <row r="804" spans="2:8" hidden="1">
      <c r="B804" s="52" t="s">
        <v>59</v>
      </c>
      <c r="C804" s="53"/>
      <c r="D804" s="54"/>
      <c r="E804" s="520" t="e">
        <f>+'MAR 24'!#REF!</f>
        <v>#REF!</v>
      </c>
      <c r="F804" s="52" t="s">
        <v>58</v>
      </c>
      <c r="G804" s="53"/>
      <c r="H804" s="55" t="e">
        <f>+'MAR 24'!#REF!</f>
        <v>#REF!</v>
      </c>
    </row>
    <row r="805" spans="2:8" hidden="1">
      <c r="B805" s="52" t="s">
        <v>290</v>
      </c>
      <c r="C805" s="53"/>
      <c r="D805" s="54"/>
      <c r="E805" s="520" t="e">
        <f>+'MAR 24'!#REF!</f>
        <v>#REF!</v>
      </c>
      <c r="F805" s="52" t="s">
        <v>67</v>
      </c>
      <c r="G805" s="53"/>
      <c r="H805" s="55" t="e">
        <f>+'MAR 24'!#REF!</f>
        <v>#REF!</v>
      </c>
    </row>
    <row r="806" spans="2:8" hidden="1">
      <c r="B806" s="52" t="s">
        <v>64</v>
      </c>
      <c r="C806" s="53"/>
      <c r="D806" s="54"/>
      <c r="E806" s="520" t="e">
        <f>+'MAR 24'!#REF!</f>
        <v>#REF!</v>
      </c>
      <c r="F806" s="52" t="s">
        <v>66</v>
      </c>
      <c r="G806" s="53"/>
      <c r="H806" s="55" t="e">
        <f>+'MAR 24'!#REF!</f>
        <v>#REF!</v>
      </c>
    </row>
    <row r="807" spans="2:8" hidden="1">
      <c r="B807" s="52" t="s">
        <v>16</v>
      </c>
      <c r="C807" s="53"/>
      <c r="D807" s="54"/>
      <c r="E807" s="520" t="e">
        <f>+'MAR 24'!#REF!</f>
        <v>#REF!</v>
      </c>
      <c r="F807" s="52" t="s">
        <v>37</v>
      </c>
      <c r="G807" s="53"/>
      <c r="H807" s="55" t="e">
        <f>+'MAR 24'!#REF!</f>
        <v>#REF!</v>
      </c>
    </row>
    <row r="808" spans="2:8" hidden="1">
      <c r="B808" s="52"/>
      <c r="C808" s="53"/>
      <c r="D808" s="54"/>
      <c r="E808" s="520"/>
      <c r="F808" s="52"/>
      <c r="G808" s="53"/>
      <c r="H808" s="55"/>
    </row>
    <row r="809" spans="2:8" hidden="1">
      <c r="B809" s="52"/>
      <c r="C809" s="53"/>
      <c r="D809" s="54"/>
      <c r="E809" s="520"/>
      <c r="F809" s="52"/>
      <c r="G809" s="53"/>
      <c r="H809" s="55"/>
    </row>
    <row r="810" spans="2:8" hidden="1">
      <c r="B810" s="52"/>
      <c r="C810" s="53"/>
      <c r="D810" s="54"/>
      <c r="E810" s="520"/>
      <c r="F810" s="52"/>
      <c r="G810" s="53"/>
      <c r="H810" s="55"/>
    </row>
    <row r="811" spans="2:8" hidden="1">
      <c r="B811" s="52"/>
      <c r="C811" s="53"/>
      <c r="D811" s="54"/>
      <c r="E811" s="520"/>
      <c r="F811" s="52"/>
      <c r="G811" s="53"/>
      <c r="H811" s="55"/>
    </row>
    <row r="812" spans="2:8" hidden="1">
      <c r="B812" s="57" t="s">
        <v>0</v>
      </c>
      <c r="C812" s="58"/>
      <c r="D812" s="59"/>
      <c r="E812" s="522" t="e">
        <f>SUM(E800:E811)</f>
        <v>#REF!</v>
      </c>
      <c r="F812" s="57"/>
      <c r="G812" s="58"/>
      <c r="H812" s="61" t="e">
        <f>SUM(H800:H811)</f>
        <v>#REF!</v>
      </c>
    </row>
    <row r="813" spans="2:8" hidden="1">
      <c r="B813" s="57" t="s">
        <v>60</v>
      </c>
      <c r="C813" s="58"/>
      <c r="D813" s="59"/>
      <c r="E813" s="523" t="e">
        <f>+E812-H812</f>
        <v>#REF!</v>
      </c>
      <c r="F813" s="58"/>
      <c r="G813" s="58"/>
      <c r="H813" s="61"/>
    </row>
    <row r="814" spans="2:8" hidden="1">
      <c r="B814" s="49"/>
      <c r="C814" s="49"/>
      <c r="D814" s="62"/>
      <c r="E814" s="519"/>
      <c r="F814" s="49"/>
      <c r="G814" s="49"/>
      <c r="H814" s="49"/>
    </row>
    <row r="815" spans="2:8" hidden="1">
      <c r="B815" s="49"/>
      <c r="C815" s="49"/>
      <c r="D815" s="62"/>
      <c r="E815" s="519"/>
      <c r="F815" s="49"/>
      <c r="G815" s="49"/>
      <c r="H815" s="49"/>
    </row>
    <row r="816" spans="2:8" hidden="1">
      <c r="B816" s="49"/>
      <c r="C816" s="49"/>
      <c r="D816" s="62"/>
      <c r="E816" s="519"/>
      <c r="F816" s="49"/>
      <c r="G816" s="49"/>
      <c r="H816" s="49"/>
    </row>
    <row r="817" spans="2:8" hidden="1">
      <c r="B817" s="49"/>
      <c r="C817" s="49"/>
      <c r="D817" s="62"/>
      <c r="E817" s="519"/>
      <c r="F817" s="49"/>
      <c r="G817" s="49"/>
      <c r="H817" s="49"/>
    </row>
    <row r="818" spans="2:8" hidden="1">
      <c r="B818" s="49"/>
      <c r="C818" s="49"/>
      <c r="D818" s="62"/>
      <c r="E818" s="519"/>
      <c r="F818" s="49"/>
      <c r="G818" s="49"/>
      <c r="H818" s="49"/>
    </row>
    <row r="819" spans="2:8" hidden="1">
      <c r="B819" s="47"/>
      <c r="C819" s="47" t="s">
        <v>46</v>
      </c>
      <c r="D819" s="48"/>
      <c r="E819" s="519"/>
      <c r="F819" s="47"/>
      <c r="G819" s="47"/>
      <c r="H819" s="47"/>
    </row>
    <row r="820" spans="2:8" hidden="1">
      <c r="B820" s="47"/>
      <c r="C820" s="47" t="s">
        <v>50</v>
      </c>
      <c r="D820" s="48"/>
      <c r="E820" s="519"/>
      <c r="F820" s="47"/>
      <c r="G820" s="47"/>
      <c r="H820" s="47"/>
    </row>
    <row r="821" spans="2:8" hidden="1">
      <c r="B821" s="47"/>
      <c r="C821" s="47"/>
      <c r="D821" s="48"/>
      <c r="E821" s="519"/>
      <c r="F821" s="47"/>
      <c r="G821" s="47"/>
      <c r="H821" s="47"/>
    </row>
    <row r="822" spans="2:8" hidden="1">
      <c r="B822" s="47" t="s">
        <v>62</v>
      </c>
      <c r="C822" s="47"/>
      <c r="D822" s="48" t="e">
        <f>+'MAR 24'!#REF!</f>
        <v>#REF!</v>
      </c>
      <c r="E822" s="519"/>
      <c r="F822" s="49"/>
      <c r="G822" s="47" t="s">
        <v>47</v>
      </c>
      <c r="H822" s="50">
        <f>+H793</f>
        <v>45352</v>
      </c>
    </row>
    <row r="823" spans="2:8" hidden="1">
      <c r="B823" s="47" t="s">
        <v>61</v>
      </c>
      <c r="C823" s="49"/>
      <c r="D823" s="51" t="s">
        <v>78</v>
      </c>
      <c r="E823" s="519"/>
      <c r="F823" s="49"/>
      <c r="G823" s="47"/>
      <c r="H823" s="47"/>
    </row>
    <row r="824" spans="2:8" hidden="1">
      <c r="B824" s="47" t="s">
        <v>53</v>
      </c>
      <c r="C824" s="47"/>
      <c r="D824" s="48">
        <f>+[2]BAdvice!C214</f>
        <v>0</v>
      </c>
      <c r="E824" s="519"/>
      <c r="F824" s="47"/>
      <c r="G824" s="47" t="s">
        <v>54</v>
      </c>
      <c r="H824" s="49"/>
    </row>
    <row r="825" spans="2:8" hidden="1">
      <c r="B825" s="47" t="s">
        <v>52</v>
      </c>
      <c r="C825" s="47"/>
      <c r="D825" s="48" t="str">
        <f>+D796</f>
        <v>PN-7656</v>
      </c>
      <c r="E825" s="519"/>
      <c r="F825" s="47"/>
      <c r="G825" s="47" t="s">
        <v>63</v>
      </c>
      <c r="H825" s="47"/>
    </row>
    <row r="826" spans="2:8" hidden="1">
      <c r="B826" s="47"/>
      <c r="C826" s="47"/>
      <c r="D826" s="48"/>
      <c r="E826" s="519"/>
      <c r="F826" s="47"/>
      <c r="G826" s="47"/>
      <c r="H826" s="47"/>
    </row>
    <row r="827" spans="2:8" hidden="1">
      <c r="B827" s="603" t="s">
        <v>65</v>
      </c>
      <c r="C827" s="604"/>
      <c r="D827" s="604"/>
      <c r="E827" s="605"/>
      <c r="F827" s="603" t="s">
        <v>55</v>
      </c>
      <c r="G827" s="604"/>
      <c r="H827" s="605"/>
    </row>
    <row r="828" spans="2:8" hidden="1">
      <c r="B828" s="52"/>
      <c r="C828" s="53"/>
      <c r="D828" s="54"/>
      <c r="E828" s="520"/>
      <c r="F828" s="52"/>
      <c r="G828" s="53"/>
      <c r="H828" s="55"/>
    </row>
    <row r="829" spans="2:8" hidden="1">
      <c r="B829" s="52" t="s">
        <v>56</v>
      </c>
      <c r="C829" s="53"/>
      <c r="D829" s="54"/>
      <c r="E829" s="520" t="e">
        <f>+'MAR 24'!#REF!</f>
        <v>#REF!</v>
      </c>
      <c r="F829" s="52" t="s">
        <v>11</v>
      </c>
      <c r="G829" s="53"/>
      <c r="H829" s="55" t="e">
        <f>+'MAR 24'!#REF!</f>
        <v>#REF!</v>
      </c>
    </row>
    <row r="830" spans="2:8" hidden="1">
      <c r="B830" s="52" t="s">
        <v>276</v>
      </c>
      <c r="C830" s="53"/>
      <c r="D830" s="54"/>
      <c r="E830" s="520" t="e">
        <f>+'MAR 24'!#REF!</f>
        <v>#REF!</v>
      </c>
      <c r="F830" s="47" t="s">
        <v>48</v>
      </c>
      <c r="G830" s="53"/>
      <c r="H830" s="55" t="e">
        <f>+'MAR 24'!#REF!</f>
        <v>#REF!</v>
      </c>
    </row>
    <row r="831" spans="2:8" hidden="1">
      <c r="B831" s="52" t="s">
        <v>8</v>
      </c>
      <c r="C831" s="53"/>
      <c r="D831" s="54"/>
      <c r="E831" s="521" t="e">
        <f>+'MAR 24'!#REF!</f>
        <v>#REF!</v>
      </c>
      <c r="F831" s="52" t="s">
        <v>18</v>
      </c>
      <c r="G831" s="53"/>
      <c r="H831" s="55" t="e">
        <f>+'MAR 24'!#REF!</f>
        <v>#REF!</v>
      </c>
    </row>
    <row r="832" spans="2:8" hidden="1">
      <c r="B832" s="52" t="s">
        <v>9</v>
      </c>
      <c r="C832" s="53"/>
      <c r="D832" s="54"/>
      <c r="E832" s="520" t="e">
        <f>+'MAR 24'!#REF!</f>
        <v>#REF!</v>
      </c>
      <c r="F832" s="52" t="s">
        <v>13</v>
      </c>
      <c r="G832" s="53"/>
      <c r="H832" s="55" t="e">
        <f>+'MAR 24'!#REF!</f>
        <v>#REF!</v>
      </c>
    </row>
    <row r="833" spans="2:19" hidden="1">
      <c r="B833" s="52" t="s">
        <v>59</v>
      </c>
      <c r="C833" s="53"/>
      <c r="D833" s="54"/>
      <c r="E833" s="520" t="e">
        <f>+'MAR 24'!#REF!</f>
        <v>#REF!</v>
      </c>
      <c r="F833" s="52" t="s">
        <v>58</v>
      </c>
      <c r="G833" s="53"/>
      <c r="H833" s="55" t="e">
        <f>+'MAR 24'!#REF!</f>
        <v>#REF!</v>
      </c>
    </row>
    <row r="834" spans="2:19" hidden="1">
      <c r="B834" s="52" t="s">
        <v>290</v>
      </c>
      <c r="C834" s="53"/>
      <c r="D834" s="54"/>
      <c r="E834" s="520" t="e">
        <f>+'MAR 24'!#REF!</f>
        <v>#REF!</v>
      </c>
      <c r="F834" s="52" t="s">
        <v>67</v>
      </c>
      <c r="G834" s="53"/>
      <c r="H834" s="55" t="e">
        <f>+'MAR 24'!#REF!</f>
        <v>#REF!</v>
      </c>
    </row>
    <row r="835" spans="2:19" hidden="1">
      <c r="B835" s="23" t="s">
        <v>107</v>
      </c>
      <c r="C835" s="53"/>
      <c r="D835" s="54"/>
      <c r="E835" s="520" t="e">
        <f>+'MAR 24'!#REF!</f>
        <v>#REF!</v>
      </c>
      <c r="F835" s="52" t="s">
        <v>66</v>
      </c>
      <c r="G835" s="53"/>
      <c r="H835" s="55" t="e">
        <f>+'MAR 24'!#REF!</f>
        <v>#REF!</v>
      </c>
    </row>
    <row r="836" spans="2:19" hidden="1">
      <c r="B836" s="23" t="s">
        <v>108</v>
      </c>
      <c r="C836" s="53"/>
      <c r="D836" s="54"/>
      <c r="E836" s="520" t="e">
        <f>+'MAR 24'!#REF!</f>
        <v>#REF!</v>
      </c>
      <c r="F836" s="52" t="s">
        <v>37</v>
      </c>
      <c r="G836" s="53"/>
      <c r="H836" s="56" t="e">
        <f>+'MAR 24'!#REF!</f>
        <v>#REF!</v>
      </c>
    </row>
    <row r="837" spans="2:19" hidden="1">
      <c r="B837" s="23" t="s">
        <v>117</v>
      </c>
      <c r="C837" s="53"/>
      <c r="D837" s="54"/>
      <c r="E837" s="520"/>
      <c r="F837" s="52"/>
      <c r="G837" s="53"/>
      <c r="H837" s="55"/>
    </row>
    <row r="838" spans="2:19" hidden="1">
      <c r="B838" s="52"/>
      <c r="C838" s="53"/>
      <c r="D838" s="54"/>
      <c r="E838" s="520"/>
      <c r="F838" s="52"/>
      <c r="G838" s="53"/>
      <c r="H838" s="55"/>
    </row>
    <row r="839" spans="2:19" hidden="1">
      <c r="B839" s="52"/>
      <c r="C839" s="53"/>
      <c r="D839" s="54"/>
      <c r="E839" s="520"/>
      <c r="F839" s="52"/>
      <c r="G839" s="53"/>
      <c r="H839" s="55"/>
    </row>
    <row r="840" spans="2:19" hidden="1">
      <c r="B840" s="52"/>
      <c r="C840" s="53"/>
      <c r="D840" s="54"/>
      <c r="E840" s="520"/>
      <c r="F840" s="52"/>
      <c r="G840" s="53"/>
      <c r="H840" s="55"/>
    </row>
    <row r="841" spans="2:19" hidden="1">
      <c r="B841" s="57" t="s">
        <v>0</v>
      </c>
      <c r="C841" s="58"/>
      <c r="D841" s="59"/>
      <c r="E841" s="522" t="e">
        <f>SUM(E829:E840)</f>
        <v>#REF!</v>
      </c>
      <c r="F841" s="57"/>
      <c r="G841" s="58"/>
      <c r="H841" s="60" t="e">
        <f>SUM(H829:H840)</f>
        <v>#REF!</v>
      </c>
      <c r="M841" s="89"/>
      <c r="N841" s="89"/>
      <c r="O841" s="89"/>
      <c r="P841" s="89"/>
      <c r="Q841" s="89"/>
      <c r="R841" s="89"/>
      <c r="S841" s="92"/>
    </row>
    <row r="842" spans="2:19" hidden="1">
      <c r="B842" s="57" t="s">
        <v>60</v>
      </c>
      <c r="C842" s="58"/>
      <c r="D842" s="59"/>
      <c r="E842" s="523" t="e">
        <f>+E841-H841</f>
        <v>#REF!</v>
      </c>
      <c r="F842" s="58"/>
      <c r="G842" s="58"/>
      <c r="H842" s="61"/>
      <c r="M842" s="89"/>
      <c r="N842" s="89"/>
      <c r="O842" s="90"/>
      <c r="P842" s="89"/>
      <c r="Q842" s="89"/>
      <c r="R842" s="89"/>
      <c r="S842" s="89"/>
    </row>
    <row r="843" spans="2:19" hidden="1">
      <c r="B843" s="45"/>
      <c r="C843" s="45"/>
      <c r="D843" s="46"/>
      <c r="E843" s="518"/>
      <c r="F843" s="45"/>
      <c r="G843" s="45"/>
      <c r="H843" s="45"/>
      <c r="M843" s="89"/>
      <c r="N843" s="89"/>
      <c r="O843" s="91"/>
      <c r="P843" s="89"/>
      <c r="Q843" s="89"/>
      <c r="R843" s="89"/>
      <c r="S843" s="89"/>
    </row>
    <row r="844" spans="2:19" hidden="1">
      <c r="B844" s="45"/>
      <c r="C844" s="45"/>
      <c r="D844" s="46"/>
      <c r="E844" s="518"/>
      <c r="F844" s="45"/>
      <c r="G844" s="45"/>
      <c r="H844" s="45"/>
      <c r="M844" s="89"/>
      <c r="N844" s="89"/>
      <c r="O844" s="89"/>
      <c r="P844" s="89"/>
      <c r="Q844" s="89"/>
      <c r="R844" s="89"/>
      <c r="S844" s="89"/>
    </row>
    <row r="845" spans="2:19">
      <c r="B845" s="45"/>
      <c r="C845" s="45"/>
      <c r="D845" s="46"/>
      <c r="E845" s="518"/>
      <c r="F845" s="45"/>
      <c r="G845" s="45"/>
      <c r="H845" s="45"/>
    </row>
    <row r="846" spans="2:19">
      <c r="B846" s="45"/>
      <c r="C846" s="45"/>
      <c r="D846" s="46"/>
      <c r="E846" s="518"/>
      <c r="F846" s="45"/>
      <c r="G846" s="45"/>
      <c r="H846" s="45"/>
    </row>
    <row r="847" spans="2:19">
      <c r="B847" s="47"/>
      <c r="C847" s="47" t="s">
        <v>46</v>
      </c>
      <c r="D847" s="48"/>
      <c r="E847" s="519"/>
      <c r="F847" s="47"/>
      <c r="G847" s="47"/>
      <c r="H847" s="47"/>
    </row>
    <row r="848" spans="2:19">
      <c r="B848" s="47"/>
      <c r="C848" s="47" t="s">
        <v>50</v>
      </c>
      <c r="D848" s="48"/>
      <c r="E848" s="519"/>
      <c r="F848" s="47"/>
      <c r="G848" s="47"/>
      <c r="H848" s="47"/>
    </row>
    <row r="849" spans="2:19">
      <c r="B849" s="47"/>
      <c r="C849" s="47"/>
      <c r="D849" s="48"/>
      <c r="E849" s="519"/>
      <c r="F849" s="47"/>
      <c r="G849" s="47"/>
      <c r="H849" s="47"/>
    </row>
    <row r="850" spans="2:19">
      <c r="B850" s="47" t="s">
        <v>62</v>
      </c>
      <c r="C850" s="47"/>
      <c r="D850" s="48" t="str">
        <f>+'MAR 24'!B28</f>
        <v>RAMKIRAN</v>
      </c>
      <c r="E850" s="519"/>
      <c r="F850" s="49"/>
      <c r="G850" s="47" t="s">
        <v>47</v>
      </c>
      <c r="H850" s="50">
        <f>+H822</f>
        <v>45352</v>
      </c>
      <c r="P850" s="85"/>
    </row>
    <row r="851" spans="2:19">
      <c r="B851" s="47" t="s">
        <v>61</v>
      </c>
      <c r="C851" s="49"/>
      <c r="D851" s="51" t="s">
        <v>103</v>
      </c>
      <c r="E851" s="519"/>
      <c r="F851" s="49"/>
      <c r="G851" s="47"/>
      <c r="H851" s="47"/>
    </row>
    <row r="852" spans="2:19">
      <c r="B852" s="47" t="s">
        <v>53</v>
      </c>
      <c r="C852" s="47"/>
      <c r="D852" s="48">
        <f>+[2]BAdvice!C242</f>
        <v>0</v>
      </c>
      <c r="E852" s="519"/>
      <c r="F852" s="47"/>
      <c r="G852" s="47" t="s">
        <v>54</v>
      </c>
      <c r="H852" s="49"/>
    </row>
    <row r="853" spans="2:19">
      <c r="B853" s="47" t="s">
        <v>52</v>
      </c>
      <c r="C853" s="47"/>
      <c r="D853" s="48" t="str">
        <f>+D825</f>
        <v>PN-7656</v>
      </c>
      <c r="E853" s="519"/>
      <c r="F853" s="47"/>
      <c r="G853" s="47" t="s">
        <v>63</v>
      </c>
      <c r="H853" s="47"/>
    </row>
    <row r="854" spans="2:19">
      <c r="B854" s="47"/>
      <c r="C854" s="47"/>
      <c r="D854" s="48"/>
      <c r="E854" s="519"/>
      <c r="F854" s="47"/>
      <c r="G854" s="47"/>
      <c r="H854" s="47"/>
    </row>
    <row r="855" spans="2:19">
      <c r="B855" s="603" t="s">
        <v>65</v>
      </c>
      <c r="C855" s="604"/>
      <c r="D855" s="604"/>
      <c r="E855" s="605"/>
      <c r="F855" s="603" t="s">
        <v>55</v>
      </c>
      <c r="G855" s="604"/>
      <c r="H855" s="605"/>
      <c r="S855" s="85"/>
    </row>
    <row r="856" spans="2:19">
      <c r="B856" s="52"/>
      <c r="C856" s="53"/>
      <c r="D856" s="54"/>
      <c r="E856" s="520"/>
      <c r="F856" s="52"/>
      <c r="G856" s="53"/>
      <c r="H856" s="55"/>
    </row>
    <row r="857" spans="2:19">
      <c r="B857" s="52" t="s">
        <v>56</v>
      </c>
      <c r="C857" s="53"/>
      <c r="D857" s="54"/>
      <c r="E857" s="520">
        <f>+'MAR 24'!C28</f>
        <v>51500</v>
      </c>
      <c r="F857" s="52" t="s">
        <v>11</v>
      </c>
      <c r="G857" s="53"/>
      <c r="H857" s="55">
        <f>+'MAR 24'!O28</f>
        <v>9022.7999999999993</v>
      </c>
    </row>
    <row r="858" spans="2:19">
      <c r="B858" s="52" t="s">
        <v>276</v>
      </c>
      <c r="C858" s="53"/>
      <c r="D858" s="54"/>
      <c r="E858" s="527">
        <f>+'MAR 24'!D28</f>
        <v>2</v>
      </c>
      <c r="F858" s="47" t="s">
        <v>48</v>
      </c>
      <c r="G858" s="53"/>
      <c r="H858" s="55">
        <f>+'MAR 24'!P28</f>
        <v>5000</v>
      </c>
    </row>
    <row r="859" spans="2:19">
      <c r="B859" s="52" t="s">
        <v>8</v>
      </c>
      <c r="C859" s="53"/>
      <c r="D859" s="54"/>
      <c r="E859" s="520">
        <f>+'MAR 24'!H28</f>
        <v>23690</v>
      </c>
      <c r="F859" s="52" t="s">
        <v>18</v>
      </c>
      <c r="G859" s="53"/>
      <c r="H859" s="55">
        <f>+'MAR 24'!Q28</f>
        <v>30</v>
      </c>
    </row>
    <row r="860" spans="2:19">
      <c r="B860" s="52" t="s">
        <v>9</v>
      </c>
      <c r="C860" s="53"/>
      <c r="D860" s="54"/>
      <c r="E860" s="520">
        <f>+'MAR 24'!I28</f>
        <v>0</v>
      </c>
      <c r="F860" s="52" t="s">
        <v>13</v>
      </c>
      <c r="G860" s="53"/>
      <c r="H860" s="55">
        <f>+'MAR 24'!R28</f>
        <v>110</v>
      </c>
      <c r="P860" s="85"/>
      <c r="S860" s="85"/>
    </row>
    <row r="861" spans="2:19">
      <c r="B861" s="52" t="s">
        <v>59</v>
      </c>
      <c r="C861" s="53"/>
      <c r="D861" s="54"/>
      <c r="E861" s="520">
        <f>+'MAR 24'!J28</f>
        <v>1000</v>
      </c>
      <c r="F861" s="52" t="s">
        <v>58</v>
      </c>
      <c r="G861" s="53"/>
      <c r="H861" s="55">
        <f>+'MAR 24'!U28</f>
        <v>346</v>
      </c>
      <c r="P861" s="85"/>
    </row>
    <row r="862" spans="2:19">
      <c r="B862" s="52" t="s">
        <v>290</v>
      </c>
      <c r="C862" s="53"/>
      <c r="D862" s="54"/>
      <c r="E862" s="520">
        <f>+'MAR 24'!K28</f>
        <v>3285</v>
      </c>
      <c r="F862" s="52" t="s">
        <v>67</v>
      </c>
      <c r="G862" s="53"/>
      <c r="H862" s="55">
        <f>+'MAR 24'!V31</f>
        <v>0</v>
      </c>
    </row>
    <row r="863" spans="2:19">
      <c r="B863" s="23" t="s">
        <v>107</v>
      </c>
      <c r="C863" s="53"/>
      <c r="D863" s="54"/>
      <c r="E863" s="520">
        <f>+'MAR 24'!L28</f>
        <v>0</v>
      </c>
      <c r="F863" s="52" t="s">
        <v>66</v>
      </c>
      <c r="G863" s="53"/>
      <c r="H863" s="55">
        <f>+'MAR 24'!W28</f>
        <v>0</v>
      </c>
    </row>
    <row r="864" spans="2:19">
      <c r="B864" s="23" t="s">
        <v>108</v>
      </c>
      <c r="C864" s="53"/>
      <c r="D864" s="54"/>
      <c r="E864" s="520">
        <f>+'MAR 24'!M28</f>
        <v>0</v>
      </c>
      <c r="F864" s="52" t="s">
        <v>37</v>
      </c>
      <c r="G864" s="53"/>
      <c r="H864" s="55">
        <f>+'MAR 24'!S31</f>
        <v>0</v>
      </c>
    </row>
    <row r="865" spans="2:19">
      <c r="B865" s="52" t="s">
        <v>117</v>
      </c>
      <c r="C865" s="53"/>
      <c r="D865" s="54"/>
      <c r="E865" s="520">
        <f>+'MAR 24'!F28</f>
        <v>0</v>
      </c>
      <c r="F865" s="52"/>
      <c r="G865" s="53"/>
      <c r="H865" s="55"/>
    </row>
    <row r="866" spans="2:19">
      <c r="B866" s="52"/>
      <c r="C866" s="53"/>
      <c r="D866" s="54"/>
      <c r="E866" s="520"/>
      <c r="F866" s="52"/>
      <c r="G866" s="53"/>
      <c r="H866" s="55"/>
    </row>
    <row r="867" spans="2:19">
      <c r="B867" s="52"/>
      <c r="C867" s="53"/>
      <c r="D867" s="54"/>
      <c r="E867" s="520"/>
      <c r="F867" s="52"/>
      <c r="G867" s="53"/>
      <c r="H867" s="55"/>
    </row>
    <row r="868" spans="2:19">
      <c r="B868" s="52"/>
      <c r="C868" s="53"/>
      <c r="D868" s="54"/>
      <c r="E868" s="520"/>
      <c r="F868" s="52"/>
      <c r="G868" s="53"/>
      <c r="H868" s="55"/>
      <c r="S868" s="93"/>
    </row>
    <row r="869" spans="2:19">
      <c r="B869" s="57" t="s">
        <v>0</v>
      </c>
      <c r="C869" s="58"/>
      <c r="D869" s="59"/>
      <c r="E869" s="522">
        <f>SUM(E857:E868)</f>
        <v>79477</v>
      </c>
      <c r="F869" s="57"/>
      <c r="G869" s="58"/>
      <c r="H869" s="60">
        <f>SUM(H857:H868)</f>
        <v>14508.8</v>
      </c>
      <c r="O869" s="19"/>
    </row>
    <row r="870" spans="2:19">
      <c r="B870" s="57" t="s">
        <v>60</v>
      </c>
      <c r="C870" s="58"/>
      <c r="D870" s="59"/>
      <c r="E870" s="523">
        <f>+E869-H869</f>
        <v>64968.2</v>
      </c>
      <c r="F870" s="58"/>
      <c r="G870" s="58"/>
      <c r="H870" s="61"/>
    </row>
    <row r="871" spans="2:19">
      <c r="B871" s="45"/>
      <c r="C871" s="45"/>
      <c r="D871" s="46"/>
      <c r="E871" s="518"/>
      <c r="F871" s="45"/>
      <c r="G871" s="45"/>
      <c r="H871" s="45"/>
    </row>
    <row r="872" spans="2:19">
      <c r="B872" s="45"/>
      <c r="C872" s="45"/>
      <c r="D872" s="46"/>
      <c r="E872" s="518"/>
      <c r="F872" s="45"/>
      <c r="G872" s="45"/>
      <c r="H872" s="45"/>
    </row>
    <row r="873" spans="2:19">
      <c r="B873" s="45"/>
      <c r="C873" s="45"/>
      <c r="D873" s="46"/>
      <c r="E873" s="518"/>
      <c r="F873" s="45"/>
      <c r="G873" s="45"/>
      <c r="H873" s="45"/>
    </row>
    <row r="874" spans="2:19">
      <c r="B874" s="45"/>
      <c r="C874" s="45"/>
      <c r="D874" s="46"/>
      <c r="E874" s="518"/>
      <c r="F874" s="45"/>
      <c r="G874" s="45"/>
      <c r="H874" s="45"/>
    </row>
    <row r="875" spans="2:19">
      <c r="B875" s="45"/>
      <c r="C875" s="45"/>
      <c r="D875" s="46"/>
      <c r="E875" s="518"/>
      <c r="F875" s="45"/>
      <c r="G875" s="45"/>
      <c r="H875" s="45"/>
    </row>
    <row r="876" spans="2:19">
      <c r="B876" s="45"/>
      <c r="C876" s="45"/>
      <c r="D876" s="46"/>
      <c r="E876" s="518"/>
      <c r="F876" s="45"/>
      <c r="G876" s="525"/>
      <c r="H876" s="45"/>
    </row>
    <row r="877" spans="2:19">
      <c r="B877" s="45"/>
      <c r="C877" s="45"/>
      <c r="D877" s="46"/>
      <c r="E877" s="518"/>
      <c r="F877" s="45"/>
      <c r="G877" s="45"/>
      <c r="H877" s="45"/>
      <c r="P877" s="85"/>
    </row>
    <row r="878" spans="2:19">
      <c r="B878" s="45"/>
      <c r="C878" s="45"/>
      <c r="D878" s="46"/>
      <c r="E878" s="518"/>
      <c r="F878" s="45"/>
      <c r="G878" s="45"/>
      <c r="H878" s="45"/>
    </row>
    <row r="879" spans="2:19">
      <c r="B879" s="45"/>
      <c r="C879" s="45"/>
      <c r="D879" s="46"/>
      <c r="E879" s="518"/>
      <c r="F879" s="45"/>
      <c r="G879" s="45"/>
      <c r="H879" s="45"/>
    </row>
    <row r="880" spans="2:19">
      <c r="B880" s="45"/>
      <c r="C880" s="45"/>
      <c r="D880" s="46"/>
      <c r="E880" s="518"/>
      <c r="F880" s="45"/>
      <c r="G880" s="45"/>
      <c r="H880" s="45"/>
    </row>
    <row r="881" spans="2:19">
      <c r="B881" s="45"/>
      <c r="C881" s="45"/>
      <c r="D881" s="46"/>
      <c r="E881" s="518"/>
      <c r="F881" s="45"/>
      <c r="G881" s="45"/>
      <c r="H881" s="45"/>
    </row>
    <row r="882" spans="2:19">
      <c r="B882" s="45"/>
      <c r="C882" s="45"/>
      <c r="D882" s="46"/>
      <c r="E882" s="518"/>
      <c r="F882" s="45"/>
      <c r="G882" s="45"/>
      <c r="H882" s="45"/>
      <c r="S882" s="85"/>
    </row>
    <row r="883" spans="2:19">
      <c r="B883" s="45"/>
      <c r="C883" s="45"/>
      <c r="D883" s="46"/>
      <c r="E883" s="518"/>
      <c r="F883" s="45"/>
      <c r="G883" s="45"/>
      <c r="H883" s="45"/>
    </row>
    <row r="884" spans="2:19">
      <c r="B884" s="45"/>
      <c r="C884" s="45"/>
      <c r="D884" s="46"/>
      <c r="E884" s="518"/>
      <c r="F884" s="45"/>
      <c r="G884" s="45"/>
      <c r="H884" s="45"/>
    </row>
    <row r="885" spans="2:19">
      <c r="B885" s="45"/>
      <c r="C885" s="45"/>
      <c r="D885" s="46"/>
      <c r="E885" s="518"/>
      <c r="F885" s="45"/>
      <c r="G885" s="45"/>
      <c r="H885" s="45"/>
    </row>
    <row r="886" spans="2:19">
      <c r="B886" s="45"/>
      <c r="C886" s="45"/>
      <c r="D886" s="46"/>
      <c r="E886" s="518"/>
      <c r="F886" s="45"/>
      <c r="G886" s="45"/>
      <c r="H886" s="45"/>
    </row>
    <row r="887" spans="2:19">
      <c r="B887" s="45"/>
      <c r="C887" s="45"/>
      <c r="D887" s="46"/>
      <c r="E887" s="518"/>
      <c r="F887" s="45"/>
      <c r="G887" s="45"/>
      <c r="H887" s="45"/>
      <c r="P887" s="85"/>
      <c r="S887" s="85"/>
    </row>
    <row r="888" spans="2:19">
      <c r="B888" s="45"/>
      <c r="C888" s="45"/>
      <c r="D888" s="46"/>
      <c r="E888" s="518"/>
      <c r="F888" s="45"/>
      <c r="G888" s="45"/>
      <c r="H888" s="45"/>
      <c r="P888" s="85"/>
    </row>
    <row r="889" spans="2:19">
      <c r="B889" s="45"/>
      <c r="C889" s="45"/>
      <c r="D889" s="46"/>
      <c r="E889" s="518"/>
      <c r="F889" s="45"/>
      <c r="G889" s="45"/>
      <c r="H889" s="45"/>
      <c r="P889" s="85"/>
    </row>
    <row r="890" spans="2:19">
      <c r="B890" s="45"/>
      <c r="C890" s="45"/>
      <c r="D890" s="46"/>
      <c r="E890" s="518"/>
      <c r="F890" s="45"/>
      <c r="G890" s="45"/>
      <c r="H890" s="45"/>
      <c r="P890" s="85"/>
    </row>
    <row r="891" spans="2:19">
      <c r="B891" s="45"/>
      <c r="C891" s="45"/>
      <c r="D891" s="46"/>
      <c r="E891" s="518"/>
      <c r="F891" s="45"/>
      <c r="G891" s="45"/>
      <c r="H891" s="45"/>
    </row>
    <row r="892" spans="2:19">
      <c r="B892" s="45"/>
      <c r="C892" s="45"/>
      <c r="D892" s="46"/>
      <c r="E892" s="518"/>
      <c r="F892" s="45"/>
      <c r="G892" s="45"/>
      <c r="H892" s="45"/>
    </row>
    <row r="893" spans="2:19">
      <c r="B893" s="45"/>
      <c r="C893" s="45"/>
      <c r="D893" s="46"/>
      <c r="E893" s="518"/>
      <c r="F893" s="45"/>
      <c r="G893" s="45"/>
      <c r="H893" s="45"/>
    </row>
    <row r="894" spans="2:19">
      <c r="B894" s="45"/>
      <c r="C894" s="45"/>
      <c r="D894" s="46"/>
      <c r="E894" s="518"/>
      <c r="F894" s="45"/>
      <c r="G894" s="45"/>
      <c r="H894" s="45"/>
      <c r="M894" s="89"/>
      <c r="N894" s="89"/>
      <c r="O894" s="89"/>
      <c r="R894" s="89"/>
      <c r="S894" s="92"/>
    </row>
    <row r="895" spans="2:19">
      <c r="B895" s="45"/>
      <c r="C895" s="45"/>
      <c r="D895" s="46"/>
      <c r="E895" s="518"/>
      <c r="F895" s="45"/>
      <c r="G895" s="45"/>
      <c r="H895" s="45"/>
      <c r="M895" s="89"/>
      <c r="N895" s="89"/>
      <c r="O895" s="90"/>
      <c r="R895" s="89"/>
      <c r="S895" s="89"/>
    </row>
    <row r="896" spans="2:19">
      <c r="B896" s="45"/>
      <c r="C896" s="45"/>
      <c r="D896" s="46"/>
      <c r="E896" s="518"/>
      <c r="F896" s="45"/>
      <c r="G896" s="45"/>
      <c r="H896" s="45"/>
      <c r="M896" s="89"/>
      <c r="N896" s="89"/>
      <c r="O896" s="91"/>
      <c r="R896" s="89"/>
      <c r="S896" s="89"/>
    </row>
    <row r="897" spans="2:19">
      <c r="B897" s="45"/>
      <c r="C897" s="45"/>
      <c r="D897" s="46"/>
      <c r="E897" s="518"/>
      <c r="F897" s="45"/>
      <c r="G897" s="45"/>
      <c r="H897" s="45"/>
      <c r="M897" s="89"/>
      <c r="N897" s="89"/>
      <c r="O897" s="89"/>
      <c r="R897" s="89"/>
      <c r="S897" s="89"/>
    </row>
    <row r="898" spans="2:19">
      <c r="B898" s="45"/>
      <c r="C898" s="45"/>
      <c r="D898" s="46"/>
      <c r="E898" s="518"/>
      <c r="F898" s="45"/>
      <c r="G898" s="45"/>
      <c r="H898" s="45"/>
    </row>
    <row r="899" spans="2:19">
      <c r="B899" s="45"/>
      <c r="C899" s="45"/>
      <c r="D899" s="46"/>
      <c r="E899" s="518"/>
      <c r="F899" s="45"/>
      <c r="G899" s="45"/>
      <c r="H899" s="45"/>
    </row>
    <row r="900" spans="2:19">
      <c r="B900" s="45"/>
      <c r="C900" s="45"/>
      <c r="D900" s="46"/>
      <c r="E900" s="518"/>
      <c r="F900" s="45"/>
      <c r="G900" s="45"/>
      <c r="H900" s="45"/>
    </row>
    <row r="901" spans="2:19">
      <c r="B901" s="45"/>
      <c r="C901" s="45"/>
      <c r="D901" s="46"/>
      <c r="E901" s="518"/>
      <c r="F901" s="45"/>
      <c r="G901" s="45"/>
      <c r="H901" s="45"/>
    </row>
    <row r="902" spans="2:19">
      <c r="B902" s="45"/>
      <c r="C902" s="45"/>
      <c r="D902" s="46"/>
      <c r="E902" s="518"/>
      <c r="F902" s="45"/>
      <c r="G902" s="45"/>
      <c r="H902" s="45"/>
    </row>
    <row r="903" spans="2:19">
      <c r="B903" s="45"/>
      <c r="C903" s="45"/>
      <c r="D903" s="46"/>
      <c r="E903" s="518"/>
      <c r="F903" s="45"/>
      <c r="G903" s="45"/>
      <c r="H903" s="45"/>
      <c r="P903" s="85"/>
    </row>
    <row r="904" spans="2:19">
      <c r="B904" s="45"/>
      <c r="C904" s="45"/>
      <c r="D904" s="46"/>
      <c r="E904" s="518"/>
      <c r="F904" s="45"/>
      <c r="G904" s="45"/>
      <c r="H904" s="45"/>
    </row>
    <row r="905" spans="2:19">
      <c r="B905" s="45"/>
      <c r="C905" s="45"/>
      <c r="D905" s="46"/>
      <c r="E905" s="518"/>
      <c r="F905" s="45"/>
      <c r="G905" s="45"/>
      <c r="H905" s="45"/>
    </row>
    <row r="906" spans="2:19">
      <c r="B906" s="45"/>
      <c r="C906" s="45"/>
      <c r="D906" s="46"/>
      <c r="E906" s="518"/>
      <c r="F906" s="45"/>
      <c r="G906" s="45"/>
      <c r="H906" s="45"/>
    </row>
    <row r="907" spans="2:19">
      <c r="B907" s="45"/>
      <c r="C907" s="45"/>
      <c r="D907" s="46"/>
      <c r="E907" s="518"/>
      <c r="F907" s="45"/>
      <c r="G907" s="45"/>
      <c r="H907" s="45"/>
    </row>
    <row r="908" spans="2:19">
      <c r="B908" s="45"/>
      <c r="C908" s="45"/>
      <c r="D908" s="46"/>
      <c r="E908" s="518"/>
      <c r="F908" s="45"/>
      <c r="G908" s="45"/>
      <c r="H908" s="45"/>
      <c r="S908" s="85"/>
    </row>
    <row r="909" spans="2:19">
      <c r="B909" s="45"/>
      <c r="C909" s="45"/>
      <c r="D909" s="46"/>
      <c r="E909" s="518"/>
      <c r="F909" s="45"/>
      <c r="G909" s="45"/>
      <c r="H909" s="45"/>
    </row>
    <row r="910" spans="2:19">
      <c r="B910" s="45"/>
      <c r="C910" s="45"/>
      <c r="D910" s="46"/>
      <c r="E910" s="518"/>
      <c r="F910" s="45"/>
      <c r="G910" s="45"/>
      <c r="H910" s="45"/>
    </row>
    <row r="911" spans="2:19">
      <c r="B911" s="45"/>
      <c r="C911" s="45"/>
      <c r="D911" s="46"/>
      <c r="E911" s="518"/>
      <c r="F911" s="45"/>
      <c r="G911" s="45"/>
      <c r="H911" s="45"/>
    </row>
    <row r="913" spans="16:19">
      <c r="P913" s="85"/>
      <c r="S913" s="85"/>
    </row>
    <row r="914" spans="16:19">
      <c r="P914" s="85"/>
    </row>
  </sheetData>
  <mergeCells count="66">
    <mergeCell ref="B10:E10"/>
    <mergeCell ref="F10:H10"/>
    <mergeCell ref="B40:E40"/>
    <mergeCell ref="F40:H40"/>
    <mergeCell ref="B125:E125"/>
    <mergeCell ref="F125:H125"/>
    <mergeCell ref="B154:E154"/>
    <mergeCell ref="F154:H154"/>
    <mergeCell ref="B68:E68"/>
    <mergeCell ref="F68:H68"/>
    <mergeCell ref="B96:E96"/>
    <mergeCell ref="F96:H96"/>
    <mergeCell ref="B238:E238"/>
    <mergeCell ref="F238:H238"/>
    <mergeCell ref="B268:E268"/>
    <mergeCell ref="F268:H268"/>
    <mergeCell ref="B182:E182"/>
    <mergeCell ref="F182:H182"/>
    <mergeCell ref="B210:E210"/>
    <mergeCell ref="F210:H210"/>
    <mergeCell ref="B351:E351"/>
    <mergeCell ref="F351:H351"/>
    <mergeCell ref="B377:E377"/>
    <mergeCell ref="F377:H377"/>
    <mergeCell ref="B296:E296"/>
    <mergeCell ref="F296:H296"/>
    <mergeCell ref="B322:E322"/>
    <mergeCell ref="F322:H322"/>
    <mergeCell ref="B463:E463"/>
    <mergeCell ref="F463:H463"/>
    <mergeCell ref="B493:E493"/>
    <mergeCell ref="F493:H493"/>
    <mergeCell ref="B406:E406"/>
    <mergeCell ref="F406:H406"/>
    <mergeCell ref="B435:E435"/>
    <mergeCell ref="F435:H435"/>
    <mergeCell ref="B575:E575"/>
    <mergeCell ref="F575:H575"/>
    <mergeCell ref="B604:E604"/>
    <mergeCell ref="F604:H604"/>
    <mergeCell ref="B519:E519"/>
    <mergeCell ref="F519:H519"/>
    <mergeCell ref="B547:E547"/>
    <mergeCell ref="F547:H547"/>
    <mergeCell ref="B714:E714"/>
    <mergeCell ref="F714:H714"/>
    <mergeCell ref="B632:E632"/>
    <mergeCell ref="F632:H632"/>
    <mergeCell ref="B659:E659"/>
    <mergeCell ref="F659:H659"/>
    <mergeCell ref="K406:N406"/>
    <mergeCell ref="O406:Q406"/>
    <mergeCell ref="P376:S376"/>
    <mergeCell ref="T376:V376"/>
    <mergeCell ref="B855:E855"/>
    <mergeCell ref="F855:H855"/>
    <mergeCell ref="B798:E798"/>
    <mergeCell ref="F798:H798"/>
    <mergeCell ref="B827:E827"/>
    <mergeCell ref="F827:H827"/>
    <mergeCell ref="B743:E743"/>
    <mergeCell ref="F743:H743"/>
    <mergeCell ref="B770:E770"/>
    <mergeCell ref="F770:H770"/>
    <mergeCell ref="B686:E686"/>
    <mergeCell ref="F686:H686"/>
  </mergeCells>
  <phoneticPr fontId="2" type="noConversion"/>
  <pageMargins left="0.2362204724409449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8"/>
  <sheetViews>
    <sheetView topLeftCell="A281" zoomScale="70" zoomScaleNormal="70" workbookViewId="0">
      <selection activeCell="B287" sqref="B287:H308"/>
    </sheetView>
  </sheetViews>
  <sheetFormatPr defaultRowHeight="15.75"/>
  <cols>
    <col min="3" max="3" width="17.42578125" style="248" customWidth="1"/>
    <col min="4" max="4" width="16.7109375" style="248" customWidth="1"/>
    <col min="5" max="5" width="8" style="248" customWidth="1"/>
    <col min="6" max="6" width="16" style="248" customWidth="1"/>
    <col min="7" max="7" width="11" style="248" customWidth="1"/>
    <col min="8" max="8" width="9.85546875" style="248" customWidth="1"/>
  </cols>
  <sheetData>
    <row r="2" spans="2:8">
      <c r="C2" s="219"/>
      <c r="D2" s="17"/>
      <c r="E2" s="219"/>
      <c r="F2" s="219"/>
      <c r="G2" s="219"/>
    </row>
    <row r="3" spans="2:8">
      <c r="C3" s="219" t="s">
        <v>46</v>
      </c>
      <c r="D3" s="17"/>
      <c r="E3" s="219"/>
      <c r="F3" s="219"/>
      <c r="G3" s="219"/>
    </row>
    <row r="4" spans="2:8">
      <c r="C4" s="219" t="s">
        <v>50</v>
      </c>
      <c r="D4" s="17"/>
      <c r="E4" s="219"/>
      <c r="F4" s="219"/>
      <c r="G4" s="219"/>
    </row>
    <row r="5" spans="2:8">
      <c r="B5">
        <v>1</v>
      </c>
      <c r="C5" s="249" t="s">
        <v>62</v>
      </c>
      <c r="D5" s="249" t="s">
        <v>139</v>
      </c>
      <c r="E5" s="249"/>
      <c r="F5" s="249"/>
      <c r="G5" s="249" t="s">
        <v>47</v>
      </c>
      <c r="H5" s="263">
        <f>+BAdvice!C10</f>
        <v>45352</v>
      </c>
    </row>
    <row r="6" spans="2:8">
      <c r="C6" s="249" t="s">
        <v>61</v>
      </c>
      <c r="D6" s="250" t="s">
        <v>136</v>
      </c>
      <c r="E6" s="249"/>
      <c r="F6" s="249"/>
      <c r="G6" s="249"/>
      <c r="H6" s="249"/>
    </row>
    <row r="7" spans="2:8">
      <c r="C7" s="249" t="s">
        <v>53</v>
      </c>
      <c r="D7" s="251" t="s">
        <v>137</v>
      </c>
      <c r="E7" s="249"/>
      <c r="F7" s="249"/>
      <c r="G7" s="249" t="s">
        <v>54</v>
      </c>
      <c r="H7" s="249"/>
    </row>
    <row r="8" spans="2:8">
      <c r="C8" s="249" t="s">
        <v>52</v>
      </c>
      <c r="D8" s="249" t="s">
        <v>68</v>
      </c>
      <c r="E8" s="249"/>
      <c r="F8" s="249"/>
      <c r="G8" s="249" t="s">
        <v>63</v>
      </c>
      <c r="H8" s="249"/>
    </row>
    <row r="9" spans="2:8">
      <c r="C9" s="252"/>
      <c r="D9" s="253"/>
      <c r="E9" s="253"/>
      <c r="F9" s="253"/>
      <c r="G9" s="253"/>
      <c r="H9" s="254"/>
    </row>
    <row r="10" spans="2:8">
      <c r="C10" s="249" t="s">
        <v>65</v>
      </c>
      <c r="D10" s="249"/>
      <c r="E10" s="249"/>
      <c r="F10" s="249" t="s">
        <v>55</v>
      </c>
      <c r="G10" s="249"/>
      <c r="H10" s="249"/>
    </row>
    <row r="11" spans="2:8">
      <c r="C11" s="249"/>
      <c r="D11" s="249"/>
      <c r="E11" s="249"/>
      <c r="F11" s="249"/>
      <c r="G11" s="249"/>
      <c r="H11" s="249"/>
    </row>
    <row r="12" spans="2:8">
      <c r="C12" s="249" t="s">
        <v>134</v>
      </c>
      <c r="D12" s="249">
        <f>+'MAR 24'!C30</f>
        <v>41100</v>
      </c>
      <c r="E12" s="249"/>
      <c r="F12" s="249" t="s">
        <v>11</v>
      </c>
      <c r="G12" s="249"/>
      <c r="H12" s="362">
        <f>+'MAR 24'!O30</f>
        <v>7200.7199999999993</v>
      </c>
    </row>
    <row r="13" spans="2:8">
      <c r="C13" s="249" t="s">
        <v>57</v>
      </c>
      <c r="D13" s="249"/>
      <c r="E13" s="249"/>
      <c r="F13" s="249" t="s">
        <v>48</v>
      </c>
      <c r="G13" s="249"/>
      <c r="H13" s="249">
        <f>+'MAR 24'!P30</f>
        <v>4000</v>
      </c>
    </row>
    <row r="14" spans="2:8">
      <c r="C14" s="249" t="s">
        <v>8</v>
      </c>
      <c r="D14" s="362">
        <f>+'MAR 24'!H30</f>
        <v>18906</v>
      </c>
      <c r="E14" s="249"/>
      <c r="F14" s="249" t="s">
        <v>18</v>
      </c>
      <c r="G14" s="249"/>
      <c r="H14" s="249">
        <v>0</v>
      </c>
    </row>
    <row r="15" spans="2:8">
      <c r="C15" s="249" t="s">
        <v>9</v>
      </c>
      <c r="D15" s="249"/>
      <c r="E15" s="249"/>
      <c r="F15" s="249" t="s">
        <v>13</v>
      </c>
      <c r="G15" s="249"/>
      <c r="H15" s="249">
        <v>110</v>
      </c>
    </row>
    <row r="16" spans="2:8">
      <c r="C16" s="249" t="s">
        <v>59</v>
      </c>
      <c r="D16" s="249">
        <f>+'MAR 24'!J30</f>
        <v>1000</v>
      </c>
      <c r="E16" s="249"/>
      <c r="F16" s="249" t="s">
        <v>58</v>
      </c>
      <c r="G16" s="249"/>
      <c r="H16" s="249">
        <v>206</v>
      </c>
    </row>
    <row r="17" spans="2:8">
      <c r="C17" s="249" t="s">
        <v>291</v>
      </c>
      <c r="D17" s="249">
        <f>+'MAR 24'!K30</f>
        <v>2628</v>
      </c>
      <c r="E17" s="249"/>
      <c r="F17" s="249" t="s">
        <v>67</v>
      </c>
      <c r="G17" s="249"/>
      <c r="H17" s="249">
        <v>0</v>
      </c>
    </row>
    <row r="18" spans="2:8">
      <c r="C18" s="249" t="s">
        <v>107</v>
      </c>
      <c r="D18" s="249">
        <f>+'MAR 24'!L30</f>
        <v>0</v>
      </c>
      <c r="E18" s="249"/>
      <c r="F18" s="249" t="s">
        <v>66</v>
      </c>
      <c r="G18" s="249"/>
      <c r="H18" s="249">
        <v>0</v>
      </c>
    </row>
    <row r="19" spans="2:8">
      <c r="C19" s="249" t="s">
        <v>108</v>
      </c>
      <c r="D19" s="249">
        <v>0</v>
      </c>
      <c r="E19" s="249"/>
      <c r="F19" s="249" t="s">
        <v>142</v>
      </c>
      <c r="G19" s="249"/>
      <c r="H19" s="249">
        <v>0</v>
      </c>
    </row>
    <row r="20" spans="2:8">
      <c r="C20" s="249" t="s">
        <v>117</v>
      </c>
      <c r="D20" s="249">
        <f>+'MAR 24'!F30</f>
        <v>0</v>
      </c>
      <c r="E20" s="249"/>
      <c r="F20" s="249"/>
      <c r="G20" s="249"/>
      <c r="H20" s="249"/>
    </row>
    <row r="21" spans="2:8">
      <c r="C21" s="252"/>
      <c r="D21" s="253"/>
      <c r="E21" s="253"/>
      <c r="F21" s="253"/>
      <c r="G21" s="253"/>
      <c r="H21" s="254"/>
    </row>
    <row r="22" spans="2:8">
      <c r="C22" s="252" t="s">
        <v>135</v>
      </c>
      <c r="D22" s="253">
        <f>SUM(D12:D21)</f>
        <v>63634</v>
      </c>
      <c r="E22" s="255"/>
      <c r="F22" s="253"/>
      <c r="G22" s="253"/>
      <c r="H22" s="465">
        <f>SUM(H12:H21)</f>
        <v>11516.72</v>
      </c>
    </row>
    <row r="23" spans="2:8" ht="16.5" thickBot="1">
      <c r="C23" s="256" t="s">
        <v>19</v>
      </c>
      <c r="D23" s="257"/>
      <c r="E23" s="257">
        <f>+D22-H22</f>
        <v>52117.279999999999</v>
      </c>
      <c r="F23" s="257"/>
      <c r="G23" s="257"/>
      <c r="H23" s="258"/>
    </row>
    <row r="24" spans="2:8">
      <c r="C24" s="219"/>
      <c r="D24" s="17"/>
      <c r="E24" s="219"/>
      <c r="F24" s="219"/>
      <c r="G24" s="219"/>
    </row>
    <row r="25" spans="2:8">
      <c r="C25" s="219" t="s">
        <v>46</v>
      </c>
      <c r="D25" s="17"/>
      <c r="E25" s="219"/>
      <c r="F25" s="219"/>
      <c r="G25" s="219"/>
    </row>
    <row r="26" spans="2:8">
      <c r="C26" s="219" t="s">
        <v>50</v>
      </c>
      <c r="D26" s="17"/>
      <c r="E26" s="219"/>
      <c r="F26" s="219"/>
      <c r="G26" s="219"/>
    </row>
    <row r="27" spans="2:8" ht="31.5">
      <c r="B27">
        <v>2</v>
      </c>
      <c r="C27" s="249" t="s">
        <v>62</v>
      </c>
      <c r="D27" s="247" t="s">
        <v>126</v>
      </c>
      <c r="E27" s="249"/>
      <c r="F27" s="249"/>
      <c r="G27" s="249" t="s">
        <v>47</v>
      </c>
      <c r="H27" s="263">
        <f>+H5</f>
        <v>45352</v>
      </c>
    </row>
    <row r="28" spans="2:8">
      <c r="C28" s="249" t="s">
        <v>61</v>
      </c>
      <c r="D28" s="250" t="s">
        <v>136</v>
      </c>
      <c r="E28" s="249"/>
      <c r="F28" s="249"/>
      <c r="G28" s="249"/>
      <c r="H28" s="249"/>
    </row>
    <row r="29" spans="2:8">
      <c r="C29" s="249" t="s">
        <v>53</v>
      </c>
      <c r="D29" s="251" t="s">
        <v>138</v>
      </c>
      <c r="E29" s="249"/>
      <c r="F29" s="249"/>
      <c r="G29" s="249" t="s">
        <v>54</v>
      </c>
      <c r="H29" s="249"/>
    </row>
    <row r="30" spans="2:8">
      <c r="C30" s="249" t="s">
        <v>52</v>
      </c>
      <c r="D30" s="249" t="s">
        <v>68</v>
      </c>
      <c r="E30" s="249"/>
      <c r="F30" s="249"/>
      <c r="G30" s="249" t="s">
        <v>63</v>
      </c>
      <c r="H30" s="249"/>
    </row>
    <row r="31" spans="2:8">
      <c r="C31" s="252"/>
      <c r="D31" s="253"/>
      <c r="E31" s="253"/>
      <c r="F31" s="253"/>
      <c r="G31" s="253"/>
      <c r="H31" s="254"/>
    </row>
    <row r="32" spans="2:8">
      <c r="C32" s="249" t="s">
        <v>65</v>
      </c>
      <c r="D32" s="249"/>
      <c r="E32" s="249"/>
      <c r="F32" s="249" t="s">
        <v>55</v>
      </c>
      <c r="G32" s="249"/>
      <c r="H32" s="249"/>
    </row>
    <row r="33" spans="3:8">
      <c r="C33" s="249"/>
      <c r="D33" s="249"/>
      <c r="E33" s="249"/>
      <c r="F33" s="249"/>
      <c r="G33" s="249"/>
      <c r="H33" s="249"/>
    </row>
    <row r="34" spans="3:8">
      <c r="C34" s="249" t="s">
        <v>134</v>
      </c>
      <c r="D34" s="249">
        <f>+'MAR 24'!C31</f>
        <v>41100</v>
      </c>
      <c r="E34" s="249"/>
      <c r="F34" s="249" t="s">
        <v>11</v>
      </c>
      <c r="G34" s="249"/>
      <c r="H34" s="362">
        <f>+'MAR 24'!O31</f>
        <v>7200.7199999999993</v>
      </c>
    </row>
    <row r="35" spans="3:8">
      <c r="C35" s="249" t="s">
        <v>57</v>
      </c>
      <c r="D35" s="249"/>
      <c r="E35" s="249"/>
      <c r="F35" s="249" t="s">
        <v>48</v>
      </c>
      <c r="G35" s="249"/>
      <c r="H35" s="249">
        <f>+'MAR 24'!P31</f>
        <v>3500</v>
      </c>
    </row>
    <row r="36" spans="3:8">
      <c r="C36" s="249" t="s">
        <v>8</v>
      </c>
      <c r="D36" s="362">
        <f>+'MAR 24'!H31</f>
        <v>18906</v>
      </c>
      <c r="E36" s="249"/>
      <c r="F36" s="249" t="s">
        <v>18</v>
      </c>
      <c r="G36" s="249"/>
      <c r="H36" s="249">
        <v>0</v>
      </c>
    </row>
    <row r="37" spans="3:8">
      <c r="C37" s="249" t="s">
        <v>9</v>
      </c>
      <c r="D37" s="249"/>
      <c r="E37" s="249"/>
      <c r="F37" s="249" t="s">
        <v>13</v>
      </c>
      <c r="G37" s="249"/>
      <c r="H37" s="249">
        <v>110</v>
      </c>
    </row>
    <row r="38" spans="3:8">
      <c r="C38" s="249" t="s">
        <v>59</v>
      </c>
      <c r="D38" s="249">
        <f>+'MAR 24'!J31</f>
        <v>1000</v>
      </c>
      <c r="E38" s="249"/>
      <c r="F38" s="249" t="s">
        <v>58</v>
      </c>
      <c r="G38" s="249"/>
      <c r="H38" s="249">
        <v>206</v>
      </c>
    </row>
    <row r="39" spans="3:8">
      <c r="C39" s="249" t="s">
        <v>291</v>
      </c>
      <c r="D39" s="249">
        <f>+'MAR 24'!K31</f>
        <v>2628</v>
      </c>
      <c r="E39" s="249"/>
      <c r="F39" s="249" t="s">
        <v>67</v>
      </c>
      <c r="G39" s="249"/>
      <c r="H39" s="249">
        <v>0</v>
      </c>
    </row>
    <row r="40" spans="3:8">
      <c r="C40" s="249" t="s">
        <v>107</v>
      </c>
      <c r="D40" s="249">
        <f>+'MAR 24'!L31</f>
        <v>0</v>
      </c>
      <c r="E40" s="249"/>
      <c r="F40" s="249" t="s">
        <v>66</v>
      </c>
      <c r="G40" s="249"/>
      <c r="H40" s="249">
        <v>0</v>
      </c>
    </row>
    <row r="41" spans="3:8">
      <c r="C41" s="249" t="s">
        <v>108</v>
      </c>
      <c r="D41" s="249">
        <v>0</v>
      </c>
      <c r="E41" s="249"/>
      <c r="F41" s="249" t="s">
        <v>142</v>
      </c>
      <c r="G41" s="249"/>
      <c r="H41" s="249">
        <v>0</v>
      </c>
    </row>
    <row r="42" spans="3:8">
      <c r="C42" s="249" t="s">
        <v>117</v>
      </c>
      <c r="D42" s="249">
        <v>0</v>
      </c>
      <c r="E42" s="249"/>
      <c r="F42" s="249"/>
      <c r="G42" s="249"/>
      <c r="H42" s="249"/>
    </row>
    <row r="43" spans="3:8">
      <c r="C43" s="252"/>
      <c r="D43" s="253"/>
      <c r="E43" s="253"/>
      <c r="F43" s="253"/>
      <c r="G43" s="253"/>
      <c r="H43" s="254"/>
    </row>
    <row r="44" spans="3:8">
      <c r="C44" s="252" t="s">
        <v>135</v>
      </c>
      <c r="D44" s="253">
        <f>SUM(D34:D43)</f>
        <v>63634</v>
      </c>
      <c r="E44" s="255"/>
      <c r="F44" s="253"/>
      <c r="G44" s="253"/>
      <c r="H44" s="465">
        <f>SUM(H34:H43)</f>
        <v>11016.72</v>
      </c>
    </row>
    <row r="45" spans="3:8" ht="16.5" thickBot="1">
      <c r="C45" s="256" t="s">
        <v>19</v>
      </c>
      <c r="D45" s="257"/>
      <c r="E45" s="257">
        <f>+D44-H44</f>
        <v>52617.279999999999</v>
      </c>
      <c r="F45" s="257"/>
      <c r="G45" s="257"/>
      <c r="H45" s="258"/>
    </row>
    <row r="46" spans="3:8">
      <c r="C46" s="219"/>
      <c r="D46" s="17"/>
      <c r="E46" s="219"/>
      <c r="F46" s="219"/>
      <c r="G46" s="219"/>
    </row>
    <row r="47" spans="3:8">
      <c r="C47" s="219" t="s">
        <v>46</v>
      </c>
      <c r="D47" s="17"/>
      <c r="E47" s="219"/>
      <c r="F47" s="219"/>
      <c r="G47" s="219"/>
    </row>
    <row r="48" spans="3:8">
      <c r="C48" s="219" t="s">
        <v>50</v>
      </c>
      <c r="D48" s="17"/>
      <c r="E48" s="219"/>
      <c r="F48" s="219"/>
      <c r="G48" s="219"/>
    </row>
    <row r="49" spans="2:8">
      <c r="B49">
        <v>3</v>
      </c>
      <c r="C49" s="249" t="s">
        <v>62</v>
      </c>
      <c r="D49" s="259" t="s">
        <v>130</v>
      </c>
      <c r="E49" s="249"/>
      <c r="F49" s="249"/>
      <c r="G49" s="249" t="s">
        <v>47</v>
      </c>
      <c r="H49" s="263">
        <f>+H5</f>
        <v>45352</v>
      </c>
    </row>
    <row r="50" spans="2:8">
      <c r="C50" s="249" t="s">
        <v>61</v>
      </c>
      <c r="D50" s="250" t="s">
        <v>136</v>
      </c>
      <c r="E50" s="249"/>
      <c r="F50" s="249"/>
      <c r="G50" s="249"/>
      <c r="H50" s="263"/>
    </row>
    <row r="51" spans="2:8">
      <c r="C51" s="249" t="s">
        <v>53</v>
      </c>
      <c r="D51" s="249">
        <v>20164911858</v>
      </c>
      <c r="E51" s="249"/>
      <c r="F51" s="249"/>
      <c r="G51" s="249" t="s">
        <v>54</v>
      </c>
      <c r="H51" s="249"/>
    </row>
    <row r="52" spans="2:8">
      <c r="C52" s="249" t="s">
        <v>52</v>
      </c>
      <c r="D52" s="249" t="s">
        <v>68</v>
      </c>
      <c r="E52" s="249"/>
      <c r="F52" s="249"/>
      <c r="G52" s="249" t="s">
        <v>63</v>
      </c>
      <c r="H52" s="249"/>
    </row>
    <row r="53" spans="2:8">
      <c r="C53" s="252"/>
      <c r="D53" s="253"/>
      <c r="E53" s="253"/>
      <c r="F53" s="253"/>
      <c r="G53" s="253"/>
      <c r="H53" s="254"/>
    </row>
    <row r="54" spans="2:8">
      <c r="C54" s="249" t="s">
        <v>65</v>
      </c>
      <c r="D54" s="249"/>
      <c r="E54" s="249"/>
      <c r="F54" s="249" t="s">
        <v>55</v>
      </c>
      <c r="G54" s="249"/>
      <c r="H54" s="249"/>
    </row>
    <row r="55" spans="2:8">
      <c r="C55" s="249"/>
      <c r="D55" s="249"/>
      <c r="E55" s="249"/>
      <c r="F55" s="249"/>
      <c r="G55" s="249"/>
      <c r="H55" s="249"/>
    </row>
    <row r="56" spans="2:8">
      <c r="C56" s="249" t="s">
        <v>134</v>
      </c>
      <c r="D56" s="260">
        <f>+'MAR 24'!C35</f>
        <v>37600</v>
      </c>
      <c r="E56" s="249"/>
      <c r="F56" s="249" t="s">
        <v>11</v>
      </c>
      <c r="G56" s="249"/>
      <c r="H56" s="362">
        <f>+'MAR 24'!O35</f>
        <v>6587.5199999999995</v>
      </c>
    </row>
    <row r="57" spans="2:8">
      <c r="C57" s="249" t="s">
        <v>57</v>
      </c>
      <c r="D57" s="249">
        <v>0</v>
      </c>
      <c r="E57" s="249"/>
      <c r="F57" s="249" t="s">
        <v>48</v>
      </c>
      <c r="G57" s="249"/>
      <c r="H57" s="249">
        <v>0</v>
      </c>
    </row>
    <row r="58" spans="2:8">
      <c r="C58" s="249" t="s">
        <v>8</v>
      </c>
      <c r="D58" s="249">
        <f>+'MAR 24'!H35</f>
        <v>17296</v>
      </c>
      <c r="E58" s="249"/>
      <c r="F58" s="249" t="s">
        <v>18</v>
      </c>
      <c r="G58" s="249"/>
      <c r="H58" s="249">
        <v>0</v>
      </c>
    </row>
    <row r="59" spans="2:8">
      <c r="C59" s="249" t="s">
        <v>9</v>
      </c>
      <c r="D59" s="249">
        <v>0</v>
      </c>
      <c r="E59" s="249"/>
      <c r="F59" s="249" t="s">
        <v>13</v>
      </c>
      <c r="G59" s="249"/>
      <c r="H59" s="249">
        <v>110</v>
      </c>
    </row>
    <row r="60" spans="2:8">
      <c r="C60" s="249" t="s">
        <v>59</v>
      </c>
      <c r="D60" s="249">
        <f>+'MAR 24'!J35</f>
        <v>1000</v>
      </c>
      <c r="E60" s="249"/>
      <c r="F60" s="249" t="s">
        <v>58</v>
      </c>
      <c r="G60" s="249"/>
      <c r="H60" s="249">
        <v>206</v>
      </c>
    </row>
    <row r="61" spans="2:8">
      <c r="C61" s="249" t="s">
        <v>291</v>
      </c>
      <c r="D61" s="249">
        <f>+'MAR 24'!K35</f>
        <v>2628</v>
      </c>
      <c r="E61" s="249"/>
      <c r="F61" s="249" t="s">
        <v>67</v>
      </c>
      <c r="G61" s="249"/>
      <c r="H61" s="249">
        <v>0</v>
      </c>
    </row>
    <row r="62" spans="2:8">
      <c r="C62" s="249" t="s">
        <v>107</v>
      </c>
      <c r="D62" s="249">
        <f>+'MAR 24'!L35</f>
        <v>0</v>
      </c>
      <c r="E62" s="249"/>
      <c r="F62" s="249" t="s">
        <v>66</v>
      </c>
      <c r="G62" s="249"/>
      <c r="H62" s="249">
        <v>0</v>
      </c>
    </row>
    <row r="63" spans="2:8">
      <c r="C63" s="249" t="s">
        <v>108</v>
      </c>
      <c r="D63" s="249">
        <f>+'MAR 24'!M33</f>
        <v>0</v>
      </c>
      <c r="E63" s="249"/>
      <c r="F63" s="249" t="s">
        <v>142</v>
      </c>
      <c r="G63" s="249"/>
      <c r="H63" s="249">
        <v>0</v>
      </c>
    </row>
    <row r="64" spans="2:8">
      <c r="C64" s="249" t="s">
        <v>117</v>
      </c>
      <c r="D64" s="249">
        <v>0</v>
      </c>
      <c r="E64" s="249"/>
      <c r="F64" s="249"/>
      <c r="G64" s="249"/>
      <c r="H64" s="249"/>
    </row>
    <row r="65" spans="2:8">
      <c r="C65" s="252"/>
      <c r="D65" s="253"/>
      <c r="E65" s="253"/>
      <c r="F65" s="253"/>
      <c r="G65" s="253"/>
      <c r="H65" s="254"/>
    </row>
    <row r="66" spans="2:8">
      <c r="C66" s="252" t="s">
        <v>135</v>
      </c>
      <c r="D66" s="253">
        <f>SUM(D56:D65)</f>
        <v>58524</v>
      </c>
      <c r="E66" s="255"/>
      <c r="F66" s="253"/>
      <c r="G66" s="253"/>
      <c r="H66" s="465">
        <f>SUM(H56:H65)</f>
        <v>6903.5199999999995</v>
      </c>
    </row>
    <row r="67" spans="2:8" ht="16.5" thickBot="1">
      <c r="C67" s="256" t="s">
        <v>19</v>
      </c>
      <c r="D67" s="257"/>
      <c r="E67" s="257">
        <f>+D66-H66</f>
        <v>51620.480000000003</v>
      </c>
      <c r="F67" s="257"/>
      <c r="G67" s="257"/>
      <c r="H67" s="258"/>
    </row>
    <row r="69" spans="2:8" s="219" customFormat="1">
      <c r="C69" s="219" t="s">
        <v>46</v>
      </c>
      <c r="D69" s="17"/>
      <c r="G69" s="248"/>
      <c r="H69" s="248"/>
    </row>
    <row r="70" spans="2:8" s="219" customFormat="1">
      <c r="C70" s="219" t="s">
        <v>50</v>
      </c>
      <c r="D70" s="17"/>
      <c r="G70" s="248"/>
      <c r="H70" s="248"/>
    </row>
    <row r="72" spans="2:8" ht="36.75" customHeight="1">
      <c r="B72">
        <v>4</v>
      </c>
      <c r="C72" s="249" t="s">
        <v>62</v>
      </c>
      <c r="D72" s="259" t="s">
        <v>140</v>
      </c>
      <c r="E72" s="249"/>
      <c r="F72" s="249"/>
      <c r="G72" s="249" t="s">
        <v>47</v>
      </c>
      <c r="H72" s="263">
        <f>+H5</f>
        <v>45352</v>
      </c>
    </row>
    <row r="73" spans="2:8">
      <c r="C73" s="249" t="s">
        <v>61</v>
      </c>
      <c r="D73" s="250" t="s">
        <v>136</v>
      </c>
      <c r="E73" s="249"/>
      <c r="F73" s="249"/>
      <c r="G73" s="249"/>
      <c r="H73" s="249"/>
    </row>
    <row r="74" spans="2:8">
      <c r="C74" s="249" t="s">
        <v>53</v>
      </c>
      <c r="D74" s="261">
        <v>34910433052</v>
      </c>
      <c r="E74" s="249"/>
      <c r="F74" s="249"/>
      <c r="G74" s="249" t="s">
        <v>54</v>
      </c>
      <c r="H74" s="249"/>
    </row>
    <row r="75" spans="2:8">
      <c r="C75" s="249" t="s">
        <v>52</v>
      </c>
      <c r="D75" s="249" t="s">
        <v>68</v>
      </c>
      <c r="E75" s="249"/>
      <c r="F75" s="249"/>
      <c r="G75" s="249" t="s">
        <v>63</v>
      </c>
      <c r="H75" s="249"/>
    </row>
    <row r="76" spans="2:8">
      <c r="C76" s="252"/>
      <c r="D76" s="253"/>
      <c r="E76" s="253"/>
      <c r="F76" s="253"/>
      <c r="G76" s="253"/>
      <c r="H76" s="254"/>
    </row>
    <row r="77" spans="2:8">
      <c r="C77" s="249" t="s">
        <v>65</v>
      </c>
      <c r="D77" s="249"/>
      <c r="E77" s="249"/>
      <c r="F77" s="249" t="s">
        <v>55</v>
      </c>
      <c r="G77" s="249"/>
      <c r="H77" s="249"/>
    </row>
    <row r="78" spans="2:8">
      <c r="C78" s="249"/>
      <c r="D78" s="249"/>
      <c r="E78" s="249"/>
      <c r="F78" s="249"/>
      <c r="G78" s="249"/>
      <c r="H78" s="249"/>
    </row>
    <row r="79" spans="2:8">
      <c r="C79" s="249" t="s">
        <v>134</v>
      </c>
      <c r="D79" s="250">
        <f>+'MAR 24'!C32</f>
        <v>37600</v>
      </c>
      <c r="E79" s="249"/>
      <c r="F79" s="249" t="s">
        <v>11</v>
      </c>
      <c r="G79" s="249"/>
      <c r="H79" s="362">
        <f>+'MAR 24'!O32</f>
        <v>6587.5199999999995</v>
      </c>
    </row>
    <row r="80" spans="2:8">
      <c r="C80" s="249" t="s">
        <v>57</v>
      </c>
      <c r="D80" s="249">
        <v>0</v>
      </c>
      <c r="E80" s="249"/>
      <c r="F80" s="249" t="s">
        <v>48</v>
      </c>
      <c r="G80" s="249"/>
      <c r="H80" s="249">
        <f>+'MAR 24'!P32</f>
        <v>1000</v>
      </c>
    </row>
    <row r="81" spans="2:8">
      <c r="C81" s="249" t="s">
        <v>8</v>
      </c>
      <c r="D81" s="249">
        <f>+'MAR 24'!H32</f>
        <v>17296</v>
      </c>
      <c r="E81" s="249"/>
      <c r="F81" s="249" t="s">
        <v>18</v>
      </c>
      <c r="G81" s="249"/>
      <c r="H81" s="249">
        <v>0</v>
      </c>
    </row>
    <row r="82" spans="2:8">
      <c r="C82" s="249" t="s">
        <v>9</v>
      </c>
      <c r="D82" s="249">
        <v>0</v>
      </c>
      <c r="E82" s="249"/>
      <c r="F82" s="249" t="s">
        <v>13</v>
      </c>
      <c r="G82" s="249"/>
      <c r="H82" s="249">
        <v>110</v>
      </c>
    </row>
    <row r="83" spans="2:8">
      <c r="C83" s="249" t="s">
        <v>59</v>
      </c>
      <c r="D83" s="249">
        <v>1000</v>
      </c>
      <c r="E83" s="249"/>
      <c r="F83" s="249" t="s">
        <v>58</v>
      </c>
      <c r="G83" s="249"/>
      <c r="H83" s="249">
        <v>206</v>
      </c>
    </row>
    <row r="84" spans="2:8">
      <c r="C84" s="249" t="s">
        <v>291</v>
      </c>
      <c r="D84" s="249">
        <f>+'MAR 24'!K32</f>
        <v>2628</v>
      </c>
      <c r="E84" s="249"/>
      <c r="F84" s="249" t="s">
        <v>67</v>
      </c>
      <c r="G84" s="249"/>
      <c r="H84" s="249">
        <v>0</v>
      </c>
    </row>
    <row r="85" spans="2:8">
      <c r="C85" s="249" t="s">
        <v>107</v>
      </c>
      <c r="D85" s="249">
        <v>0</v>
      </c>
      <c r="E85" s="249"/>
      <c r="F85" s="249" t="s">
        <v>66</v>
      </c>
      <c r="G85" s="249"/>
      <c r="H85" s="249">
        <v>0</v>
      </c>
    </row>
    <row r="86" spans="2:8">
      <c r="C86" s="249" t="s">
        <v>108</v>
      </c>
      <c r="D86" s="249">
        <v>0</v>
      </c>
      <c r="E86" s="249"/>
      <c r="F86" s="249" t="s">
        <v>142</v>
      </c>
      <c r="G86" s="249"/>
      <c r="H86" s="249">
        <v>0</v>
      </c>
    </row>
    <row r="87" spans="2:8">
      <c r="C87" s="249" t="s">
        <v>117</v>
      </c>
      <c r="D87" s="249">
        <v>0</v>
      </c>
      <c r="E87" s="249"/>
      <c r="F87" s="249"/>
      <c r="G87" s="249"/>
      <c r="H87" s="249"/>
    </row>
    <row r="88" spans="2:8">
      <c r="C88" s="252"/>
      <c r="D88" s="253"/>
      <c r="E88" s="253"/>
      <c r="F88" s="253"/>
      <c r="G88" s="253"/>
      <c r="H88" s="254"/>
    </row>
    <row r="89" spans="2:8">
      <c r="C89" s="252" t="s">
        <v>135</v>
      </c>
      <c r="D89" s="253">
        <f>SUM(D78:D88)</f>
        <v>58524</v>
      </c>
      <c r="E89" s="255"/>
      <c r="F89" s="253"/>
      <c r="G89" s="253"/>
      <c r="H89" s="568">
        <f>SUM(H78:H88)</f>
        <v>7903.5199999999995</v>
      </c>
    </row>
    <row r="90" spans="2:8" ht="16.5" thickBot="1">
      <c r="C90" s="256" t="s">
        <v>19</v>
      </c>
      <c r="D90" s="257"/>
      <c r="E90" s="257">
        <f>+D89-H89</f>
        <v>50620.480000000003</v>
      </c>
      <c r="F90" s="257"/>
      <c r="G90" s="257"/>
      <c r="H90" s="258"/>
    </row>
    <row r="92" spans="2:8" s="219" customFormat="1">
      <c r="C92" s="248"/>
      <c r="D92" s="248"/>
      <c r="E92" s="248"/>
      <c r="F92" s="248"/>
      <c r="G92" s="248"/>
      <c r="H92" s="248"/>
    </row>
    <row r="93" spans="2:8" s="219" customFormat="1">
      <c r="C93" s="219" t="s">
        <v>46</v>
      </c>
      <c r="D93" s="17"/>
      <c r="G93" s="248"/>
      <c r="H93" s="248"/>
    </row>
    <row r="94" spans="2:8" s="219" customFormat="1">
      <c r="C94" s="219" t="s">
        <v>50</v>
      </c>
      <c r="D94" s="17"/>
      <c r="G94" s="248"/>
      <c r="H94" s="248"/>
    </row>
    <row r="96" spans="2:8">
      <c r="B96">
        <v>5</v>
      </c>
      <c r="C96" s="249" t="s">
        <v>62</v>
      </c>
      <c r="D96" s="262" t="s">
        <v>141</v>
      </c>
      <c r="E96" s="249"/>
      <c r="F96" s="249"/>
      <c r="G96" s="249" t="s">
        <v>47</v>
      </c>
      <c r="H96" s="263">
        <f>+H5</f>
        <v>45352</v>
      </c>
    </row>
    <row r="97" spans="3:8">
      <c r="C97" s="249" t="s">
        <v>61</v>
      </c>
      <c r="D97" s="250" t="s">
        <v>136</v>
      </c>
      <c r="E97" s="249"/>
      <c r="F97" s="249"/>
      <c r="G97" s="249"/>
      <c r="H97" s="249"/>
    </row>
    <row r="98" spans="3:8">
      <c r="C98" s="249" t="s">
        <v>53</v>
      </c>
      <c r="D98" s="261">
        <v>37094154628</v>
      </c>
      <c r="E98" s="249"/>
      <c r="F98" s="249"/>
      <c r="G98" s="249" t="s">
        <v>54</v>
      </c>
      <c r="H98" s="249"/>
    </row>
    <row r="99" spans="3:8">
      <c r="C99" s="249" t="s">
        <v>52</v>
      </c>
      <c r="D99" s="249" t="s">
        <v>68</v>
      </c>
      <c r="E99" s="249"/>
      <c r="F99" s="249"/>
      <c r="G99" s="249" t="s">
        <v>63</v>
      </c>
      <c r="H99" s="249"/>
    </row>
    <row r="100" spans="3:8">
      <c r="C100" s="252"/>
      <c r="D100" s="253"/>
      <c r="E100" s="253"/>
      <c r="F100" s="253"/>
      <c r="G100" s="253"/>
      <c r="H100" s="254"/>
    </row>
    <row r="101" spans="3:8">
      <c r="C101" s="249" t="s">
        <v>65</v>
      </c>
      <c r="D101" s="249"/>
      <c r="E101" s="249"/>
      <c r="F101" s="249" t="s">
        <v>55</v>
      </c>
      <c r="G101" s="249"/>
      <c r="H101" s="249"/>
    </row>
    <row r="102" spans="3:8">
      <c r="C102" s="249"/>
      <c r="D102" s="249"/>
      <c r="E102" s="249"/>
      <c r="F102" s="249"/>
      <c r="G102" s="249"/>
      <c r="H102" s="249"/>
    </row>
    <row r="103" spans="3:8">
      <c r="C103" s="249" t="s">
        <v>134</v>
      </c>
      <c r="D103" s="250">
        <f>+'MAR 24'!C33</f>
        <v>37600</v>
      </c>
      <c r="E103" s="249"/>
      <c r="F103" s="249" t="s">
        <v>11</v>
      </c>
      <c r="G103" s="249"/>
      <c r="H103" s="362">
        <f>+'MAR 24'!O33</f>
        <v>6587.5199999999995</v>
      </c>
    </row>
    <row r="104" spans="3:8">
      <c r="C104" s="249" t="s">
        <v>57</v>
      </c>
      <c r="D104" s="249">
        <v>0</v>
      </c>
      <c r="E104" s="249"/>
      <c r="F104" s="249" t="s">
        <v>48</v>
      </c>
      <c r="G104" s="249"/>
      <c r="H104" s="249">
        <f>+'MAR 24'!P33</f>
        <v>0</v>
      </c>
    </row>
    <row r="105" spans="3:8">
      <c r="C105" s="249" t="s">
        <v>8</v>
      </c>
      <c r="D105" s="249">
        <f>+'MAR 24'!H33</f>
        <v>17296</v>
      </c>
      <c r="E105" s="249"/>
      <c r="F105" s="249" t="s">
        <v>18</v>
      </c>
      <c r="G105" s="249"/>
      <c r="H105" s="249">
        <v>0</v>
      </c>
    </row>
    <row r="106" spans="3:8">
      <c r="C106" s="249" t="s">
        <v>9</v>
      </c>
      <c r="D106" s="249">
        <v>0</v>
      </c>
      <c r="E106" s="249"/>
      <c r="F106" s="249" t="s">
        <v>13</v>
      </c>
      <c r="G106" s="249"/>
      <c r="H106" s="249">
        <v>110</v>
      </c>
    </row>
    <row r="107" spans="3:8">
      <c r="C107" s="249" t="s">
        <v>59</v>
      </c>
      <c r="D107" s="249">
        <v>1000</v>
      </c>
      <c r="E107" s="249"/>
      <c r="F107" s="249" t="s">
        <v>58</v>
      </c>
      <c r="G107" s="249"/>
      <c r="H107" s="249">
        <v>206</v>
      </c>
    </row>
    <row r="108" spans="3:8">
      <c r="C108" s="249" t="s">
        <v>291</v>
      </c>
      <c r="D108" s="249">
        <f>+'MAR 24'!K33</f>
        <v>2628</v>
      </c>
      <c r="E108" s="249"/>
      <c r="F108" s="249" t="s">
        <v>67</v>
      </c>
      <c r="G108" s="249"/>
      <c r="H108" s="249">
        <v>0</v>
      </c>
    </row>
    <row r="109" spans="3:8">
      <c r="C109" s="249" t="s">
        <v>107</v>
      </c>
      <c r="D109" s="249">
        <v>0</v>
      </c>
      <c r="E109" s="249"/>
      <c r="F109" s="249" t="s">
        <v>66</v>
      </c>
      <c r="G109" s="249"/>
      <c r="H109" s="249">
        <v>0</v>
      </c>
    </row>
    <row r="110" spans="3:8">
      <c r="C110" s="249" t="s">
        <v>108</v>
      </c>
      <c r="D110" s="249">
        <v>0</v>
      </c>
      <c r="E110" s="249"/>
      <c r="F110" s="249" t="s">
        <v>142</v>
      </c>
      <c r="G110" s="249"/>
      <c r="H110" s="249">
        <v>0</v>
      </c>
    </row>
    <row r="111" spans="3:8">
      <c r="C111" s="249" t="s">
        <v>117</v>
      </c>
      <c r="D111" s="249">
        <v>0</v>
      </c>
      <c r="E111" s="249"/>
      <c r="F111" s="249"/>
      <c r="G111" s="249"/>
      <c r="H111" s="249"/>
    </row>
    <row r="112" spans="3:8">
      <c r="C112" s="252"/>
      <c r="D112" s="253"/>
      <c r="E112" s="253"/>
      <c r="F112" s="253"/>
      <c r="G112" s="253"/>
      <c r="H112" s="254"/>
    </row>
    <row r="113" spans="2:9">
      <c r="C113" s="252" t="s">
        <v>135</v>
      </c>
      <c r="D113" s="253">
        <f>SUM(D102:D112)</f>
        <v>58524</v>
      </c>
      <c r="E113" s="255"/>
      <c r="F113" s="253"/>
      <c r="G113" s="253"/>
      <c r="H113" s="255">
        <f>SUM(H102:H112)</f>
        <v>6903.5199999999995</v>
      </c>
    </row>
    <row r="114" spans="2:9" ht="16.5" thickBot="1">
      <c r="C114" s="256" t="s">
        <v>19</v>
      </c>
      <c r="D114" s="257"/>
      <c r="E114" s="257">
        <f>+D113-H113</f>
        <v>51620.480000000003</v>
      </c>
      <c r="F114" s="257"/>
      <c r="G114" s="257"/>
      <c r="H114" s="258"/>
    </row>
    <row r="116" spans="2:9" s="276" customFormat="1">
      <c r="C116" s="275"/>
      <c r="D116" s="275"/>
      <c r="E116" s="275"/>
      <c r="F116" s="275"/>
      <c r="G116" s="275"/>
      <c r="H116" s="275"/>
    </row>
    <row r="118" spans="2:9" hidden="1">
      <c r="C118" s="278"/>
      <c r="D118" s="278"/>
      <c r="E118" s="278"/>
      <c r="F118" s="278"/>
      <c r="G118" s="278"/>
      <c r="H118" s="278"/>
      <c r="I118" s="66"/>
    </row>
    <row r="119" spans="2:9" hidden="1">
      <c r="C119" s="66"/>
      <c r="D119" s="111" t="s">
        <v>46</v>
      </c>
      <c r="E119" s="66"/>
      <c r="F119" s="66"/>
      <c r="G119" s="66"/>
      <c r="H119" s="278"/>
      <c r="I119" s="66"/>
    </row>
    <row r="120" spans="2:9" hidden="1">
      <c r="C120" s="66"/>
      <c r="D120" s="111" t="s">
        <v>50</v>
      </c>
      <c r="E120" s="66"/>
      <c r="F120" s="66"/>
      <c r="G120" s="66"/>
      <c r="H120" s="278"/>
      <c r="I120" s="66"/>
    </row>
    <row r="121" spans="2:9" hidden="1">
      <c r="C121" s="278"/>
      <c r="D121" s="278"/>
      <c r="E121" s="278"/>
      <c r="F121" s="278"/>
      <c r="G121" s="278"/>
      <c r="H121" s="278"/>
      <c r="I121" s="66"/>
    </row>
    <row r="122" spans="2:9" hidden="1">
      <c r="B122">
        <v>6</v>
      </c>
      <c r="C122" s="353" t="s">
        <v>62</v>
      </c>
      <c r="D122" s="353" t="s">
        <v>227</v>
      </c>
      <c r="E122" s="249"/>
      <c r="F122" s="353"/>
      <c r="G122" s="353" t="s">
        <v>47</v>
      </c>
      <c r="H122" s="263">
        <f>+H5</f>
        <v>45352</v>
      </c>
    </row>
    <row r="123" spans="2:9" hidden="1">
      <c r="C123" s="353" t="s">
        <v>61</v>
      </c>
      <c r="D123" s="354" t="s">
        <v>228</v>
      </c>
      <c r="E123" s="249"/>
      <c r="F123" s="353"/>
      <c r="G123" s="353"/>
      <c r="H123" s="16"/>
    </row>
    <row r="124" spans="2:9" hidden="1">
      <c r="C124" s="353" t="s">
        <v>53</v>
      </c>
      <c r="D124" s="18">
        <v>10012667079</v>
      </c>
      <c r="E124" s="249"/>
      <c r="F124" s="353"/>
      <c r="G124" s="353" t="s">
        <v>54</v>
      </c>
      <c r="H124" s="16"/>
    </row>
    <row r="125" spans="2:9" hidden="1">
      <c r="C125" s="353" t="s">
        <v>52</v>
      </c>
      <c r="D125" s="353" t="s">
        <v>68</v>
      </c>
      <c r="E125" s="249"/>
      <c r="F125" s="353"/>
      <c r="G125" s="353" t="s">
        <v>63</v>
      </c>
      <c r="H125" s="16"/>
    </row>
    <row r="126" spans="2:9" hidden="1">
      <c r="C126" s="278"/>
      <c r="D126" s="278"/>
      <c r="E126" s="278"/>
      <c r="F126" s="278"/>
      <c r="G126" s="278"/>
      <c r="H126" s="66"/>
    </row>
    <row r="127" spans="2:9" hidden="1">
      <c r="C127" s="353" t="s">
        <v>65</v>
      </c>
      <c r="D127" s="353"/>
      <c r="E127" s="353"/>
      <c r="F127" s="353" t="s">
        <v>55</v>
      </c>
      <c r="G127" s="353"/>
      <c r="H127" s="16"/>
    </row>
    <row r="128" spans="2:9" hidden="1">
      <c r="C128" s="353"/>
      <c r="D128" s="353"/>
      <c r="E128" s="353"/>
      <c r="F128" s="353"/>
      <c r="G128" s="353"/>
      <c r="H128" s="16"/>
    </row>
    <row r="129" spans="3:9" hidden="1">
      <c r="C129" s="353" t="s">
        <v>56</v>
      </c>
      <c r="D129" s="353"/>
      <c r="E129" s="353"/>
      <c r="F129" s="353" t="s">
        <v>11</v>
      </c>
      <c r="G129" s="353"/>
      <c r="H129" s="16"/>
    </row>
    <row r="130" spans="3:9" hidden="1">
      <c r="C130" s="353" t="s">
        <v>57</v>
      </c>
      <c r="D130" s="353"/>
      <c r="E130" s="353"/>
      <c r="F130" s="353" t="s">
        <v>48</v>
      </c>
      <c r="G130" s="353"/>
      <c r="H130" s="16"/>
    </row>
    <row r="131" spans="3:9" hidden="1">
      <c r="C131" s="353" t="s">
        <v>8</v>
      </c>
      <c r="D131" s="355"/>
      <c r="E131" s="353"/>
      <c r="F131" s="353" t="s">
        <v>18</v>
      </c>
      <c r="G131" s="353"/>
      <c r="H131" s="16"/>
    </row>
    <row r="132" spans="3:9" hidden="1">
      <c r="C132" s="353" t="s">
        <v>9</v>
      </c>
      <c r="D132" s="353"/>
      <c r="E132" s="353"/>
      <c r="F132" s="353" t="s">
        <v>13</v>
      </c>
      <c r="G132" s="353"/>
      <c r="H132" s="16"/>
    </row>
    <row r="133" spans="3:9" hidden="1">
      <c r="C133" s="353" t="s">
        <v>59</v>
      </c>
      <c r="D133" s="353"/>
      <c r="E133" s="353"/>
      <c r="F133" s="353" t="s">
        <v>58</v>
      </c>
      <c r="G133" s="353"/>
      <c r="H133" s="16"/>
    </row>
    <row r="134" spans="3:9" hidden="1">
      <c r="C134" s="353" t="s">
        <v>291</v>
      </c>
      <c r="D134" s="353"/>
      <c r="E134" s="353"/>
      <c r="F134" s="353" t="s">
        <v>106</v>
      </c>
      <c r="G134" s="353"/>
      <c r="H134" s="16"/>
    </row>
    <row r="135" spans="3:9" hidden="1">
      <c r="C135" s="353" t="s">
        <v>107</v>
      </c>
      <c r="D135" s="353"/>
      <c r="E135" s="353"/>
      <c r="F135" s="353" t="s">
        <v>66</v>
      </c>
      <c r="G135" s="353"/>
      <c r="H135" s="16"/>
    </row>
    <row r="136" spans="3:9" hidden="1">
      <c r="C136" s="353" t="s">
        <v>108</v>
      </c>
      <c r="D136" s="353"/>
      <c r="E136" s="353"/>
      <c r="F136" s="353" t="s">
        <v>37</v>
      </c>
      <c r="G136" s="353"/>
      <c r="H136" s="356"/>
    </row>
    <row r="137" spans="3:9" hidden="1">
      <c r="C137" s="353" t="s">
        <v>117</v>
      </c>
      <c r="D137" s="355"/>
      <c r="E137" s="353"/>
      <c r="F137" s="249"/>
      <c r="G137" s="353"/>
      <c r="H137" s="353"/>
      <c r="I137" s="66"/>
    </row>
    <row r="138" spans="3:9" hidden="1">
      <c r="C138" s="353"/>
      <c r="D138" s="353"/>
      <c r="E138" s="353"/>
      <c r="F138" s="353"/>
      <c r="G138" s="353"/>
      <c r="H138" s="353"/>
      <c r="I138" s="66"/>
    </row>
    <row r="139" spans="3:9" hidden="1">
      <c r="C139" s="353" t="s">
        <v>0</v>
      </c>
      <c r="D139" s="355"/>
      <c r="E139" s="353"/>
      <c r="F139" s="249"/>
      <c r="G139" s="353"/>
      <c r="H139" s="356"/>
      <c r="I139" s="66"/>
    </row>
    <row r="140" spans="3:9" hidden="1">
      <c r="C140" s="16" t="s">
        <v>60</v>
      </c>
      <c r="D140" s="20"/>
      <c r="E140" s="16"/>
      <c r="F140" s="356">
        <f>+D139-H139</f>
        <v>0</v>
      </c>
      <c r="G140" s="16"/>
      <c r="H140" s="353"/>
      <c r="I140" s="66"/>
    </row>
    <row r="141" spans="3:9" hidden="1"/>
    <row r="142" spans="3:9" hidden="1">
      <c r="I142" s="66"/>
    </row>
    <row r="143" spans="3:9">
      <c r="C143" s="219" t="s">
        <v>46</v>
      </c>
      <c r="D143" s="17"/>
      <c r="E143" s="219"/>
      <c r="F143" s="219"/>
      <c r="I143" s="66"/>
    </row>
    <row r="144" spans="3:9">
      <c r="C144" s="219" t="s">
        <v>50</v>
      </c>
      <c r="D144" s="17"/>
      <c r="E144" s="219"/>
      <c r="F144" s="219"/>
      <c r="I144" s="66"/>
    </row>
    <row r="145" spans="2:9">
      <c r="I145" s="66"/>
    </row>
    <row r="146" spans="2:9">
      <c r="B146">
        <v>7</v>
      </c>
      <c r="C146" s="249" t="s">
        <v>62</v>
      </c>
      <c r="D146" s="262" t="str">
        <f>+'MAR 24'!B37</f>
        <v xml:space="preserve"> VINAY KUMAR </v>
      </c>
      <c r="E146" s="249"/>
      <c r="F146" s="249"/>
      <c r="G146" s="249" t="s">
        <v>47</v>
      </c>
      <c r="H146" s="263">
        <f>+H5</f>
        <v>45352</v>
      </c>
      <c r="I146" s="66"/>
    </row>
    <row r="147" spans="2:9">
      <c r="C147" s="249" t="s">
        <v>61</v>
      </c>
      <c r="D147" s="250" t="s">
        <v>136</v>
      </c>
      <c r="E147" s="249"/>
      <c r="F147" s="249"/>
      <c r="G147" s="249"/>
      <c r="H147" s="249"/>
      <c r="I147" s="66"/>
    </row>
    <row r="148" spans="2:9">
      <c r="C148" s="249" t="s">
        <v>53</v>
      </c>
      <c r="D148" s="20">
        <v>30206051936</v>
      </c>
      <c r="E148" s="249"/>
      <c r="F148" s="249"/>
      <c r="G148" s="249" t="s">
        <v>54</v>
      </c>
      <c r="H148" s="249"/>
      <c r="I148" s="66"/>
    </row>
    <row r="149" spans="2:9">
      <c r="C149" s="249" t="s">
        <v>52</v>
      </c>
      <c r="D149" s="249" t="s">
        <v>68</v>
      </c>
      <c r="E149" s="249"/>
      <c r="F149" s="249"/>
      <c r="G149" s="249" t="s">
        <v>63</v>
      </c>
      <c r="H149" s="249"/>
      <c r="I149" s="66"/>
    </row>
    <row r="150" spans="2:9">
      <c r="C150" s="252"/>
      <c r="D150" s="253"/>
      <c r="E150" s="253"/>
      <c r="F150" s="253"/>
      <c r="G150" s="253"/>
      <c r="H150" s="254"/>
      <c r="I150" s="66"/>
    </row>
    <row r="151" spans="2:9">
      <c r="C151" s="249" t="s">
        <v>65</v>
      </c>
      <c r="D151" s="249"/>
      <c r="E151" s="249"/>
      <c r="F151" s="249" t="s">
        <v>55</v>
      </c>
      <c r="G151" s="249"/>
      <c r="H151" s="249"/>
      <c r="I151" s="66"/>
    </row>
    <row r="152" spans="2:9">
      <c r="C152" s="249"/>
      <c r="D152" s="249"/>
      <c r="E152" s="249"/>
      <c r="F152" s="249"/>
      <c r="G152" s="249"/>
      <c r="H152" s="249"/>
      <c r="I152" s="66"/>
    </row>
    <row r="153" spans="2:9">
      <c r="C153" s="249" t="s">
        <v>134</v>
      </c>
      <c r="D153" s="249">
        <f>+'MAR 24'!C37</f>
        <v>35400</v>
      </c>
      <c r="E153" s="249"/>
      <c r="F153" s="249" t="s">
        <v>11</v>
      </c>
      <c r="G153" s="249"/>
      <c r="H153" s="362">
        <f>+'MAR 24'!O37</f>
        <v>6202.08</v>
      </c>
      <c r="I153" s="66"/>
    </row>
    <row r="154" spans="2:9">
      <c r="C154" s="249" t="s">
        <v>57</v>
      </c>
      <c r="D154" s="249">
        <v>0</v>
      </c>
      <c r="E154" s="249"/>
      <c r="F154" s="249" t="s">
        <v>48</v>
      </c>
      <c r="G154" s="249"/>
      <c r="H154" s="249">
        <v>0</v>
      </c>
      <c r="I154" s="66"/>
    </row>
    <row r="155" spans="2:9">
      <c r="C155" s="249" t="s">
        <v>8</v>
      </c>
      <c r="D155" s="249">
        <f>+D153*46%</f>
        <v>16284</v>
      </c>
      <c r="E155" s="249"/>
      <c r="F155" s="249" t="s">
        <v>18</v>
      </c>
      <c r="G155" s="249"/>
      <c r="H155" s="249">
        <v>0</v>
      </c>
      <c r="I155" s="66"/>
    </row>
    <row r="156" spans="2:9">
      <c r="C156" s="249" t="s">
        <v>9</v>
      </c>
      <c r="D156" s="249">
        <v>0</v>
      </c>
      <c r="E156" s="249"/>
      <c r="F156" s="249" t="s">
        <v>13</v>
      </c>
      <c r="G156" s="249"/>
      <c r="H156" s="249">
        <v>110</v>
      </c>
      <c r="I156" s="66"/>
    </row>
    <row r="157" spans="2:9">
      <c r="C157" s="249" t="s">
        <v>59</v>
      </c>
      <c r="D157" s="249">
        <v>1000</v>
      </c>
      <c r="E157" s="249"/>
      <c r="F157" s="249" t="s">
        <v>58</v>
      </c>
      <c r="G157" s="249"/>
      <c r="H157" s="249">
        <v>206</v>
      </c>
      <c r="I157" s="66"/>
    </row>
    <row r="158" spans="2:9">
      <c r="C158" s="249" t="s">
        <v>291</v>
      </c>
      <c r="D158" s="249">
        <f>+'MAR 24'!K37</f>
        <v>2628</v>
      </c>
      <c r="E158" s="249"/>
      <c r="F158" s="249" t="s">
        <v>67</v>
      </c>
      <c r="G158" s="249"/>
      <c r="H158" s="249">
        <v>0</v>
      </c>
      <c r="I158" s="66"/>
    </row>
    <row r="159" spans="2:9">
      <c r="C159" s="249" t="s">
        <v>107</v>
      </c>
      <c r="D159" s="249">
        <v>0</v>
      </c>
      <c r="E159" s="249"/>
      <c r="F159" s="249" t="s">
        <v>66</v>
      </c>
      <c r="G159" s="249"/>
      <c r="H159" s="249">
        <v>0</v>
      </c>
      <c r="I159" s="66"/>
    </row>
    <row r="160" spans="2:9">
      <c r="C160" s="249" t="s">
        <v>108</v>
      </c>
      <c r="D160" s="249">
        <v>0</v>
      </c>
      <c r="E160" s="249"/>
      <c r="F160" s="249" t="s">
        <v>142</v>
      </c>
      <c r="G160" s="249"/>
      <c r="H160" s="249">
        <v>0</v>
      </c>
      <c r="I160" s="66"/>
    </row>
    <row r="161" spans="2:9">
      <c r="C161" s="249" t="s">
        <v>117</v>
      </c>
      <c r="D161" s="249">
        <v>0</v>
      </c>
      <c r="E161" s="249"/>
      <c r="F161" s="249"/>
      <c r="G161" s="249"/>
      <c r="H161" s="249"/>
      <c r="I161" s="66"/>
    </row>
    <row r="162" spans="2:9">
      <c r="C162" s="252"/>
      <c r="D162" s="253"/>
      <c r="E162" s="253"/>
      <c r="F162" s="253"/>
      <c r="G162" s="253"/>
      <c r="H162" s="254"/>
      <c r="I162" s="66"/>
    </row>
    <row r="163" spans="2:9">
      <c r="C163" s="252" t="s">
        <v>135</v>
      </c>
      <c r="D163" s="253">
        <f>SUM(D153:D162)</f>
        <v>55312</v>
      </c>
      <c r="E163" s="255"/>
      <c r="F163" s="253"/>
      <c r="G163" s="253"/>
      <c r="H163" s="465">
        <f>SUM(H153:H162)</f>
        <v>6518.08</v>
      </c>
      <c r="I163" s="66"/>
    </row>
    <row r="164" spans="2:9" ht="16.5" thickBot="1">
      <c r="C164" s="256" t="s">
        <v>19</v>
      </c>
      <c r="D164" s="257"/>
      <c r="E164" s="257">
        <f>+D163-H163</f>
        <v>48793.919999999998</v>
      </c>
      <c r="F164" s="257"/>
      <c r="G164" s="257"/>
      <c r="H164" s="258"/>
      <c r="I164" s="66"/>
    </row>
    <row r="165" spans="2:9">
      <c r="C165" s="66"/>
      <c r="D165" s="111"/>
      <c r="E165" s="66"/>
      <c r="F165" s="66"/>
      <c r="G165" s="66"/>
      <c r="H165" s="278"/>
      <c r="I165" s="66"/>
    </row>
    <row r="166" spans="2:9" hidden="1">
      <c r="C166" s="278"/>
      <c r="D166" s="278"/>
      <c r="E166" s="278"/>
      <c r="F166" s="278"/>
      <c r="G166" s="278"/>
      <c r="H166" s="279"/>
      <c r="I166" s="66"/>
    </row>
    <row r="167" spans="2:9" hidden="1">
      <c r="C167" s="219" t="s">
        <v>46</v>
      </c>
      <c r="D167" s="17"/>
      <c r="E167" s="219"/>
      <c r="F167" s="219"/>
      <c r="I167" s="66"/>
    </row>
    <row r="168" spans="2:9" hidden="1">
      <c r="C168" s="219" t="s">
        <v>50</v>
      </c>
      <c r="D168" s="17"/>
      <c r="E168" s="219"/>
      <c r="F168" s="219"/>
      <c r="I168" s="66"/>
    </row>
    <row r="169" spans="2:9" hidden="1">
      <c r="I169" s="66"/>
    </row>
    <row r="170" spans="2:9" hidden="1">
      <c r="B170">
        <v>8</v>
      </c>
      <c r="C170" s="249" t="s">
        <v>62</v>
      </c>
      <c r="D170" s="262">
        <f>+'MAR 24'!B39</f>
        <v>0</v>
      </c>
      <c r="E170" s="249"/>
      <c r="F170" s="249"/>
      <c r="G170" s="249" t="s">
        <v>47</v>
      </c>
      <c r="H170" s="263">
        <f>+H5</f>
        <v>45352</v>
      </c>
      <c r="I170" s="66"/>
    </row>
    <row r="171" spans="2:9" hidden="1">
      <c r="C171" s="249" t="s">
        <v>61</v>
      </c>
      <c r="D171" s="250" t="s">
        <v>234</v>
      </c>
      <c r="E171" s="249"/>
      <c r="F171" s="249"/>
      <c r="G171" s="249"/>
      <c r="H171" s="249"/>
      <c r="I171" s="66"/>
    </row>
    <row r="172" spans="2:9" hidden="1">
      <c r="C172" s="249" t="s">
        <v>53</v>
      </c>
      <c r="D172" s="20">
        <v>20152460443</v>
      </c>
      <c r="E172" s="249"/>
      <c r="F172" s="249"/>
      <c r="G172" s="249" t="s">
        <v>54</v>
      </c>
      <c r="H172" s="249"/>
      <c r="I172" s="66"/>
    </row>
    <row r="173" spans="2:9" hidden="1">
      <c r="C173" s="249" t="s">
        <v>52</v>
      </c>
      <c r="D173" s="249" t="s">
        <v>68</v>
      </c>
      <c r="E173" s="249"/>
      <c r="F173" s="249"/>
      <c r="G173" s="249" t="s">
        <v>63</v>
      </c>
      <c r="H173" s="249"/>
      <c r="I173" s="66"/>
    </row>
    <row r="174" spans="2:9" hidden="1">
      <c r="C174" s="252"/>
      <c r="D174" s="253"/>
      <c r="E174" s="253"/>
      <c r="F174" s="253"/>
      <c r="G174" s="253"/>
      <c r="H174" s="254"/>
      <c r="I174" s="66"/>
    </row>
    <row r="175" spans="2:9" hidden="1">
      <c r="C175" s="249" t="s">
        <v>65</v>
      </c>
      <c r="D175" s="249"/>
      <c r="E175" s="249"/>
      <c r="F175" s="249" t="s">
        <v>55</v>
      </c>
      <c r="G175" s="249"/>
      <c r="H175" s="249"/>
      <c r="I175" s="66"/>
    </row>
    <row r="176" spans="2:9" hidden="1">
      <c r="C176" s="249"/>
      <c r="D176" s="249"/>
      <c r="E176" s="249"/>
      <c r="F176" s="249"/>
      <c r="G176" s="249"/>
      <c r="H176" s="249"/>
      <c r="I176" s="66"/>
    </row>
    <row r="177" spans="3:9" hidden="1">
      <c r="C177" s="249" t="s">
        <v>134</v>
      </c>
      <c r="D177" s="249">
        <f>+'MAR 24'!C39</f>
        <v>0</v>
      </c>
      <c r="E177" s="249"/>
      <c r="F177" s="249" t="s">
        <v>11</v>
      </c>
      <c r="G177" s="249"/>
      <c r="H177" s="249">
        <f>+'MAR 24'!O39</f>
        <v>0</v>
      </c>
      <c r="I177" s="66"/>
    </row>
    <row r="178" spans="3:9" hidden="1">
      <c r="C178" s="249" t="s">
        <v>57</v>
      </c>
      <c r="D178" s="249">
        <v>0</v>
      </c>
      <c r="E178" s="249"/>
      <c r="F178" s="249" t="s">
        <v>48</v>
      </c>
      <c r="G178" s="249"/>
      <c r="H178" s="249">
        <v>0</v>
      </c>
      <c r="I178" s="66"/>
    </row>
    <row r="179" spans="3:9" hidden="1">
      <c r="C179" s="249" t="s">
        <v>8</v>
      </c>
      <c r="D179" s="249">
        <v>0</v>
      </c>
      <c r="E179" s="249"/>
      <c r="F179" s="249" t="s">
        <v>18</v>
      </c>
      <c r="G179" s="249"/>
      <c r="H179" s="249">
        <v>0</v>
      </c>
      <c r="I179" s="66"/>
    </row>
    <row r="180" spans="3:9" hidden="1">
      <c r="C180" s="249" t="s">
        <v>9</v>
      </c>
      <c r="D180" s="249">
        <v>0</v>
      </c>
      <c r="E180" s="249"/>
      <c r="F180" s="249" t="s">
        <v>13</v>
      </c>
      <c r="G180" s="249"/>
      <c r="H180" s="249" t="s">
        <v>292</v>
      </c>
      <c r="I180" s="66"/>
    </row>
    <row r="181" spans="3:9" hidden="1">
      <c r="C181" s="249" t="s">
        <v>59</v>
      </c>
      <c r="D181" s="249">
        <v>0</v>
      </c>
      <c r="E181" s="249"/>
      <c r="F181" s="249" t="s">
        <v>58</v>
      </c>
      <c r="G181" s="249"/>
      <c r="H181" s="249">
        <v>0</v>
      </c>
      <c r="I181" s="66"/>
    </row>
    <row r="182" spans="3:9" hidden="1">
      <c r="C182" s="249" t="s">
        <v>291</v>
      </c>
      <c r="D182" s="249">
        <v>0</v>
      </c>
      <c r="E182" s="249"/>
      <c r="F182" s="249" t="s">
        <v>67</v>
      </c>
      <c r="G182" s="249"/>
      <c r="H182" s="249">
        <v>0</v>
      </c>
      <c r="I182" s="66"/>
    </row>
    <row r="183" spans="3:9" hidden="1">
      <c r="C183" s="249" t="s">
        <v>107</v>
      </c>
      <c r="D183" s="249">
        <v>0</v>
      </c>
      <c r="E183" s="249"/>
      <c r="F183" s="249" t="s">
        <v>66</v>
      </c>
      <c r="G183" s="249"/>
      <c r="H183" s="249">
        <v>0</v>
      </c>
      <c r="I183" s="66"/>
    </row>
    <row r="184" spans="3:9" hidden="1">
      <c r="C184" s="249" t="s">
        <v>108</v>
      </c>
      <c r="D184" s="249">
        <v>0</v>
      </c>
      <c r="E184" s="249"/>
      <c r="F184" s="249" t="s">
        <v>142</v>
      </c>
      <c r="G184" s="249"/>
      <c r="H184" s="249">
        <v>0</v>
      </c>
      <c r="I184" s="66"/>
    </row>
    <row r="185" spans="3:9" hidden="1">
      <c r="C185" s="249" t="s">
        <v>117</v>
      </c>
      <c r="D185" s="249">
        <v>0</v>
      </c>
      <c r="E185" s="249"/>
      <c r="F185" s="249"/>
      <c r="G185" s="249"/>
      <c r="H185" s="249"/>
      <c r="I185" s="66"/>
    </row>
    <row r="186" spans="3:9" hidden="1">
      <c r="C186" s="252"/>
      <c r="D186" s="253"/>
      <c r="E186" s="253"/>
      <c r="F186" s="253"/>
      <c r="G186" s="253"/>
      <c r="H186" s="254"/>
      <c r="I186" s="66"/>
    </row>
    <row r="187" spans="3:9" hidden="1">
      <c r="C187" s="252" t="s">
        <v>135</v>
      </c>
      <c r="D187" s="255">
        <f>SUM(D177:D186)</f>
        <v>0</v>
      </c>
      <c r="E187" s="255"/>
      <c r="F187" s="255"/>
      <c r="G187" s="255"/>
      <c r="H187" s="465">
        <f>SUM(H177:H186)</f>
        <v>0</v>
      </c>
      <c r="I187" s="66"/>
    </row>
    <row r="188" spans="3:9" ht="16.5" hidden="1" thickBot="1">
      <c r="C188" s="256" t="s">
        <v>19</v>
      </c>
      <c r="D188" s="466"/>
      <c r="E188" s="466">
        <f>+D187-H187</f>
        <v>0</v>
      </c>
      <c r="F188" s="466"/>
      <c r="G188" s="466"/>
      <c r="H188" s="467"/>
      <c r="I188" s="66"/>
    </row>
    <row r="189" spans="3:9" hidden="1">
      <c r="C189" s="278"/>
      <c r="D189" s="468"/>
      <c r="E189" s="468"/>
      <c r="F189" s="468"/>
      <c r="G189" s="468"/>
      <c r="H189" s="468"/>
      <c r="I189" s="66"/>
    </row>
    <row r="190" spans="3:9">
      <c r="C190" s="278"/>
      <c r="D190" s="468"/>
      <c r="E190" s="468"/>
      <c r="F190" s="468"/>
      <c r="G190" s="468"/>
      <c r="H190" s="468"/>
      <c r="I190" s="66"/>
    </row>
    <row r="191" spans="3:9">
      <c r="C191" s="219" t="s">
        <v>46</v>
      </c>
      <c r="D191" s="17"/>
      <c r="E191" s="219"/>
      <c r="F191" s="219"/>
      <c r="I191" s="66"/>
    </row>
    <row r="192" spans="3:9">
      <c r="C192" s="219" t="s">
        <v>50</v>
      </c>
      <c r="D192" s="17"/>
      <c r="E192" s="219"/>
      <c r="F192" s="219"/>
      <c r="I192" s="66"/>
    </row>
    <row r="193" spans="2:9">
      <c r="I193" s="66"/>
    </row>
    <row r="194" spans="2:9" ht="31.5">
      <c r="B194">
        <v>9</v>
      </c>
      <c r="C194" s="249" t="s">
        <v>62</v>
      </c>
      <c r="D194" s="262" t="str">
        <f>+'MAR 24'!B40</f>
        <v xml:space="preserve">SANDEEP  KHAPRA   </v>
      </c>
      <c r="E194" s="249"/>
      <c r="F194" s="249"/>
      <c r="G194" s="249" t="s">
        <v>47</v>
      </c>
      <c r="H194" s="263">
        <f>+H27</f>
        <v>45352</v>
      </c>
      <c r="I194" s="66"/>
    </row>
    <row r="195" spans="2:9">
      <c r="C195" s="249" t="s">
        <v>61</v>
      </c>
      <c r="D195" s="250" t="s">
        <v>234</v>
      </c>
      <c r="E195" s="249"/>
      <c r="F195" s="249"/>
      <c r="G195" s="249"/>
      <c r="H195" s="249"/>
      <c r="I195" s="66"/>
    </row>
    <row r="196" spans="2:9">
      <c r="C196" s="249" t="s">
        <v>53</v>
      </c>
      <c r="D196" s="20">
        <v>37127263850</v>
      </c>
      <c r="E196" s="249"/>
      <c r="F196" s="249"/>
      <c r="G196" s="249" t="s">
        <v>54</v>
      </c>
      <c r="H196" s="249"/>
      <c r="I196" s="66"/>
    </row>
    <row r="197" spans="2:9">
      <c r="C197" s="249" t="s">
        <v>52</v>
      </c>
      <c r="D197" s="249" t="s">
        <v>68</v>
      </c>
      <c r="E197" s="249"/>
      <c r="F197" s="249"/>
      <c r="G197" s="249" t="s">
        <v>63</v>
      </c>
      <c r="H197" s="249"/>
      <c r="I197" s="66"/>
    </row>
    <row r="198" spans="2:9">
      <c r="C198" s="252"/>
      <c r="D198" s="253"/>
      <c r="E198" s="253"/>
      <c r="F198" s="253"/>
      <c r="G198" s="253"/>
      <c r="H198" s="254"/>
    </row>
    <row r="199" spans="2:9">
      <c r="C199" s="249" t="s">
        <v>65</v>
      </c>
      <c r="D199" s="249"/>
      <c r="E199" s="249"/>
      <c r="F199" s="249" t="s">
        <v>55</v>
      </c>
      <c r="G199" s="249"/>
      <c r="H199" s="249"/>
    </row>
    <row r="200" spans="2:9">
      <c r="C200" s="249"/>
      <c r="D200" s="249"/>
      <c r="E200" s="249"/>
      <c r="F200" s="249"/>
      <c r="G200" s="249"/>
      <c r="H200" s="249"/>
    </row>
    <row r="201" spans="2:9">
      <c r="C201" s="249" t="s">
        <v>134</v>
      </c>
      <c r="D201" s="249">
        <f>+'MAR 24'!C40</f>
        <v>25000</v>
      </c>
      <c r="E201" s="249"/>
      <c r="F201" s="249" t="s">
        <v>11</v>
      </c>
      <c r="G201" s="249"/>
      <c r="H201" s="362">
        <f>+'MAR 24'!O40</f>
        <v>3000</v>
      </c>
    </row>
    <row r="202" spans="2:9">
      <c r="C202" s="249" t="s">
        <v>57</v>
      </c>
      <c r="D202" s="249">
        <v>0</v>
      </c>
      <c r="E202" s="249"/>
      <c r="F202" s="249" t="s">
        <v>48</v>
      </c>
      <c r="G202" s="249"/>
      <c r="H202" s="249">
        <v>0</v>
      </c>
    </row>
    <row r="203" spans="2:9">
      <c r="C203" s="249" t="s">
        <v>8</v>
      </c>
      <c r="D203" s="249">
        <v>0</v>
      </c>
      <c r="E203" s="249"/>
      <c r="F203" s="249" t="s">
        <v>18</v>
      </c>
      <c r="G203" s="249"/>
      <c r="H203" s="249">
        <v>0</v>
      </c>
    </row>
    <row r="204" spans="2:9">
      <c r="C204" s="249" t="s">
        <v>9</v>
      </c>
      <c r="D204" s="249">
        <v>0</v>
      </c>
      <c r="E204" s="249"/>
      <c r="F204" s="249" t="s">
        <v>13</v>
      </c>
      <c r="G204" s="249"/>
      <c r="H204" s="249">
        <v>110</v>
      </c>
    </row>
    <row r="205" spans="2:9">
      <c r="C205" s="249" t="s">
        <v>59</v>
      </c>
      <c r="D205" s="249">
        <v>0</v>
      </c>
      <c r="E205" s="249"/>
      <c r="F205" s="249" t="s">
        <v>58</v>
      </c>
      <c r="G205" s="249"/>
      <c r="H205" s="249">
        <v>0</v>
      </c>
    </row>
    <row r="206" spans="2:9">
      <c r="C206" s="249" t="s">
        <v>291</v>
      </c>
      <c r="D206" s="249">
        <v>0</v>
      </c>
      <c r="E206" s="249"/>
      <c r="F206" s="249" t="s">
        <v>67</v>
      </c>
      <c r="G206" s="249"/>
      <c r="H206" s="249">
        <v>0</v>
      </c>
    </row>
    <row r="207" spans="2:9">
      <c r="C207" s="249" t="s">
        <v>107</v>
      </c>
      <c r="D207" s="249">
        <v>0</v>
      </c>
      <c r="E207" s="249"/>
      <c r="F207" s="249" t="s">
        <v>66</v>
      </c>
      <c r="G207" s="249"/>
      <c r="H207" s="249">
        <v>0</v>
      </c>
    </row>
    <row r="208" spans="2:9">
      <c r="C208" s="249" t="s">
        <v>108</v>
      </c>
      <c r="D208" s="249">
        <v>0</v>
      </c>
      <c r="E208" s="249"/>
      <c r="F208" s="249" t="s">
        <v>142</v>
      </c>
      <c r="G208" s="249"/>
      <c r="H208" s="249">
        <v>0</v>
      </c>
    </row>
    <row r="209" spans="2:8">
      <c r="C209" s="249" t="s">
        <v>117</v>
      </c>
      <c r="D209" s="249">
        <v>0</v>
      </c>
      <c r="E209" s="249"/>
      <c r="F209" s="249"/>
      <c r="G209" s="249"/>
      <c r="H209" s="249"/>
    </row>
    <row r="210" spans="2:8">
      <c r="C210" s="252"/>
      <c r="D210" s="253"/>
      <c r="E210" s="253"/>
      <c r="F210" s="253"/>
      <c r="G210" s="253"/>
      <c r="H210" s="254"/>
    </row>
    <row r="211" spans="2:8" ht="16.5" thickBot="1">
      <c r="C211" s="252" t="s">
        <v>135</v>
      </c>
      <c r="D211" s="466">
        <f>SUM(D201:D210)</f>
        <v>25000</v>
      </c>
      <c r="E211" s="255"/>
      <c r="F211" s="253"/>
      <c r="G211" s="253"/>
      <c r="H211" s="465">
        <f>SUM(H201:H210)</f>
        <v>3110</v>
      </c>
    </row>
    <row r="212" spans="2:8" ht="16.5" thickBot="1">
      <c r="C212" s="256" t="s">
        <v>19</v>
      </c>
      <c r="D212" s="257"/>
      <c r="E212" s="466">
        <f>+D211-H211</f>
        <v>21890</v>
      </c>
      <c r="F212" s="257"/>
      <c r="G212" s="257"/>
      <c r="H212" s="258"/>
    </row>
    <row r="214" spans="2:8" ht="17.25" hidden="1" customHeight="1"/>
    <row r="215" spans="2:8" hidden="1">
      <c r="C215" s="219" t="s">
        <v>46</v>
      </c>
      <c r="D215" s="17"/>
      <c r="E215" s="219"/>
      <c r="F215" s="219"/>
    </row>
    <row r="216" spans="2:8" hidden="1">
      <c r="C216" s="219" t="s">
        <v>50</v>
      </c>
      <c r="D216" s="17"/>
      <c r="E216" s="219"/>
      <c r="F216" s="219"/>
    </row>
    <row r="217" spans="2:8" hidden="1"/>
    <row r="218" spans="2:8" ht="31.5" hidden="1">
      <c r="B218">
        <v>10</v>
      </c>
      <c r="C218" s="249" t="s">
        <v>62</v>
      </c>
      <c r="D218" s="262" t="str">
        <f>+'MAR 24'!B41</f>
        <v>Ms Chanmeet Kaur (21d)</v>
      </c>
      <c r="E218" s="249"/>
      <c r="F218" s="249"/>
      <c r="G218" s="249" t="s">
        <v>47</v>
      </c>
      <c r="H218" s="263">
        <f>+H194</f>
        <v>45352</v>
      </c>
    </row>
    <row r="219" spans="2:8" hidden="1">
      <c r="C219" s="249" t="s">
        <v>61</v>
      </c>
      <c r="D219" s="250" t="s">
        <v>234</v>
      </c>
      <c r="E219" s="249"/>
      <c r="F219" s="249"/>
      <c r="G219" s="249"/>
      <c r="H219" s="249"/>
    </row>
    <row r="220" spans="2:8" hidden="1">
      <c r="C220" s="249" t="s">
        <v>53</v>
      </c>
      <c r="D220" s="20" t="s">
        <v>232</v>
      </c>
      <c r="E220" s="249"/>
      <c r="F220" s="249"/>
      <c r="G220" s="249" t="s">
        <v>54</v>
      </c>
      <c r="H220" s="249"/>
    </row>
    <row r="221" spans="2:8" hidden="1">
      <c r="C221" s="249" t="s">
        <v>52</v>
      </c>
      <c r="D221" s="249" t="s">
        <v>68</v>
      </c>
      <c r="E221" s="249"/>
      <c r="F221" s="249"/>
      <c r="G221" s="249" t="s">
        <v>63</v>
      </c>
      <c r="H221" s="249"/>
    </row>
    <row r="222" spans="2:8" hidden="1">
      <c r="C222" s="252"/>
      <c r="D222" s="253"/>
      <c r="E222" s="253"/>
      <c r="F222" s="253"/>
      <c r="G222" s="253"/>
      <c r="H222" s="254"/>
    </row>
    <row r="223" spans="2:8" hidden="1">
      <c r="C223" s="249" t="s">
        <v>65</v>
      </c>
      <c r="D223" s="249"/>
      <c r="E223" s="249"/>
      <c r="F223" s="249" t="s">
        <v>55</v>
      </c>
      <c r="G223" s="249"/>
      <c r="H223" s="249"/>
    </row>
    <row r="224" spans="2:8" hidden="1">
      <c r="C224" s="249"/>
      <c r="D224" s="249"/>
      <c r="E224" s="249"/>
      <c r="F224" s="249"/>
      <c r="G224" s="249"/>
      <c r="H224" s="249"/>
    </row>
    <row r="225" spans="3:8" hidden="1">
      <c r="C225" s="249" t="s">
        <v>134</v>
      </c>
      <c r="D225" s="249">
        <f>+'MAR 24'!C41</f>
        <v>17500</v>
      </c>
      <c r="E225" s="249"/>
      <c r="F225" s="249" t="s">
        <v>11</v>
      </c>
      <c r="G225" s="249"/>
      <c r="H225" s="249">
        <f>+'MAR 24'!O41</f>
        <v>2100</v>
      </c>
    </row>
    <row r="226" spans="3:8" hidden="1">
      <c r="C226" s="249" t="s">
        <v>57</v>
      </c>
      <c r="D226" s="249">
        <v>0</v>
      </c>
      <c r="E226" s="249"/>
      <c r="F226" s="249" t="s">
        <v>48</v>
      </c>
      <c r="G226" s="249"/>
      <c r="H226" s="249">
        <v>0</v>
      </c>
    </row>
    <row r="227" spans="3:8" hidden="1">
      <c r="C227" s="249" t="s">
        <v>8</v>
      </c>
      <c r="D227" s="249">
        <v>0</v>
      </c>
      <c r="E227" s="249"/>
      <c r="F227" s="249" t="s">
        <v>18</v>
      </c>
      <c r="G227" s="249"/>
      <c r="H227" s="249">
        <v>0</v>
      </c>
    </row>
    <row r="228" spans="3:8" hidden="1">
      <c r="C228" s="249" t="s">
        <v>9</v>
      </c>
      <c r="D228" s="249">
        <v>0</v>
      </c>
      <c r="E228" s="249"/>
      <c r="F228" s="249" t="s">
        <v>13</v>
      </c>
      <c r="G228" s="249"/>
      <c r="H228" s="249">
        <v>110</v>
      </c>
    </row>
    <row r="229" spans="3:8" hidden="1">
      <c r="C229" s="249" t="s">
        <v>59</v>
      </c>
      <c r="D229" s="249">
        <v>0</v>
      </c>
      <c r="E229" s="249"/>
      <c r="F229" s="249" t="s">
        <v>58</v>
      </c>
      <c r="G229" s="249"/>
      <c r="H229" s="249">
        <v>0</v>
      </c>
    </row>
    <row r="230" spans="3:8" hidden="1">
      <c r="C230" s="249" t="s">
        <v>291</v>
      </c>
      <c r="D230" s="249">
        <v>0</v>
      </c>
      <c r="E230" s="249"/>
      <c r="F230" s="249" t="s">
        <v>67</v>
      </c>
      <c r="G230" s="249"/>
      <c r="H230" s="249">
        <v>0</v>
      </c>
    </row>
    <row r="231" spans="3:8" hidden="1">
      <c r="C231" s="249" t="s">
        <v>107</v>
      </c>
      <c r="D231" s="249">
        <v>0</v>
      </c>
      <c r="E231" s="249"/>
      <c r="F231" s="249" t="s">
        <v>66</v>
      </c>
      <c r="G231" s="249"/>
      <c r="H231" s="249">
        <v>0</v>
      </c>
    </row>
    <row r="232" spans="3:8" hidden="1">
      <c r="C232" s="249" t="s">
        <v>108</v>
      </c>
      <c r="D232" s="249">
        <v>0</v>
      </c>
      <c r="E232" s="249"/>
      <c r="F232" s="249" t="s">
        <v>142</v>
      </c>
      <c r="G232" s="249"/>
      <c r="H232" s="249">
        <v>0</v>
      </c>
    </row>
    <row r="233" spans="3:8" hidden="1">
      <c r="C233" s="249" t="s">
        <v>117</v>
      </c>
      <c r="D233" s="249">
        <v>0</v>
      </c>
      <c r="E233" s="249"/>
      <c r="F233" s="249"/>
      <c r="G233" s="249"/>
      <c r="H233" s="249"/>
    </row>
    <row r="234" spans="3:8" hidden="1">
      <c r="C234" s="252"/>
      <c r="D234" s="253"/>
      <c r="E234" s="253"/>
      <c r="F234" s="253"/>
      <c r="G234" s="253"/>
      <c r="H234" s="254"/>
    </row>
    <row r="235" spans="3:8" hidden="1">
      <c r="C235" s="252" t="s">
        <v>135</v>
      </c>
      <c r="D235" s="253">
        <f>SUM(D225:D234)</f>
        <v>17500</v>
      </c>
      <c r="E235" s="255"/>
      <c r="F235" s="253"/>
      <c r="G235" s="253"/>
      <c r="H235" s="254">
        <f>SUM(H225:H234)</f>
        <v>2210</v>
      </c>
    </row>
    <row r="236" spans="3:8" ht="16.5" hidden="1" thickBot="1">
      <c r="C236" s="256" t="s">
        <v>19</v>
      </c>
      <c r="D236" s="257"/>
      <c r="E236" s="257">
        <f>+D235-H235</f>
        <v>15290</v>
      </c>
      <c r="F236" s="257"/>
      <c r="G236" s="257"/>
      <c r="H236" s="258"/>
    </row>
    <row r="237" spans="3:8" hidden="1"/>
    <row r="239" spans="3:8">
      <c r="C239" s="219" t="s">
        <v>46</v>
      </c>
      <c r="D239" s="17"/>
      <c r="E239" s="219"/>
      <c r="F239" s="219"/>
    </row>
    <row r="240" spans="3:8">
      <c r="C240" s="219" t="s">
        <v>50</v>
      </c>
      <c r="D240" s="17"/>
      <c r="E240" s="219"/>
      <c r="F240" s="219"/>
    </row>
    <row r="242" spans="3:8" ht="31.5">
      <c r="C242" s="249" t="s">
        <v>62</v>
      </c>
      <c r="D242" s="262" t="str">
        <f>+'MAR 24'!B36</f>
        <v xml:space="preserve">SH PRANAV BHATT </v>
      </c>
      <c r="E242" s="249"/>
      <c r="F242" s="249"/>
      <c r="G242" s="249" t="s">
        <v>47</v>
      </c>
      <c r="H242" s="263">
        <f>+H218</f>
        <v>45352</v>
      </c>
    </row>
    <row r="243" spans="3:8">
      <c r="C243" s="249" t="s">
        <v>61</v>
      </c>
      <c r="D243" s="250" t="s">
        <v>237</v>
      </c>
      <c r="E243" s="249"/>
      <c r="F243" s="249"/>
      <c r="G243" s="249"/>
      <c r="H243" s="249"/>
    </row>
    <row r="244" spans="3:8">
      <c r="C244" s="249" t="s">
        <v>53</v>
      </c>
      <c r="D244" s="361" t="s">
        <v>231</v>
      </c>
      <c r="E244" s="249"/>
      <c r="F244" s="249"/>
      <c r="G244" s="249" t="s">
        <v>54</v>
      </c>
      <c r="H244" s="249"/>
    </row>
    <row r="245" spans="3:8">
      <c r="C245" s="249" t="s">
        <v>52</v>
      </c>
      <c r="D245" s="249" t="s">
        <v>68</v>
      </c>
      <c r="E245" s="249"/>
      <c r="F245" s="249"/>
      <c r="G245" s="249" t="s">
        <v>63</v>
      </c>
      <c r="H245" s="249"/>
    </row>
    <row r="246" spans="3:8">
      <c r="C246" s="252"/>
      <c r="D246" s="253"/>
      <c r="E246" s="253"/>
      <c r="F246" s="253"/>
      <c r="G246" s="253"/>
      <c r="H246" s="254"/>
    </row>
    <row r="247" spans="3:8">
      <c r="C247" s="249" t="s">
        <v>65</v>
      </c>
      <c r="D247" s="249"/>
      <c r="E247" s="249"/>
      <c r="F247" s="249" t="s">
        <v>55</v>
      </c>
      <c r="G247" s="249"/>
      <c r="H247" s="249"/>
    </row>
    <row r="248" spans="3:8">
      <c r="C248" s="249"/>
      <c r="D248" s="249"/>
      <c r="E248" s="249"/>
      <c r="F248" s="249"/>
      <c r="G248" s="249"/>
      <c r="H248" s="249"/>
    </row>
    <row r="249" spans="3:8">
      <c r="C249" s="249" t="s">
        <v>134</v>
      </c>
      <c r="D249" s="249">
        <f>+'MAR 24'!C36</f>
        <v>44900</v>
      </c>
      <c r="E249" s="249"/>
      <c r="F249" s="249" t="s">
        <v>11</v>
      </c>
      <c r="G249" s="249"/>
      <c r="H249" s="362">
        <f>+'MAR 24'!O36</f>
        <v>7866.48</v>
      </c>
    </row>
    <row r="250" spans="3:8">
      <c r="C250" s="249" t="s">
        <v>57</v>
      </c>
      <c r="D250" s="249">
        <v>0</v>
      </c>
      <c r="E250" s="249"/>
      <c r="F250" s="249" t="s">
        <v>48</v>
      </c>
      <c r="G250" s="249"/>
      <c r="H250" s="249">
        <f>+'MAR 24'!P36</f>
        <v>0</v>
      </c>
    </row>
    <row r="251" spans="3:8">
      <c r="C251" s="249" t="s">
        <v>8</v>
      </c>
      <c r="D251" s="249">
        <f>+D249*46%</f>
        <v>20654</v>
      </c>
      <c r="E251" s="249"/>
      <c r="F251" s="249" t="s">
        <v>18</v>
      </c>
      <c r="G251" s="249"/>
      <c r="H251" s="249">
        <v>0</v>
      </c>
    </row>
    <row r="252" spans="3:8">
      <c r="C252" s="249" t="s">
        <v>9</v>
      </c>
      <c r="D252" s="249">
        <v>0</v>
      </c>
      <c r="E252" s="249"/>
      <c r="F252" s="249" t="s">
        <v>13</v>
      </c>
      <c r="G252" s="249"/>
      <c r="H252" s="249">
        <v>110</v>
      </c>
    </row>
    <row r="253" spans="3:8">
      <c r="C253" s="249" t="s">
        <v>59</v>
      </c>
      <c r="D253" s="249">
        <v>1000</v>
      </c>
      <c r="E253" s="249"/>
      <c r="F253" s="249" t="s">
        <v>58</v>
      </c>
      <c r="G253" s="249"/>
      <c r="H253" s="249">
        <f>+'MAR 24'!U36</f>
        <v>206</v>
      </c>
    </row>
    <row r="254" spans="3:8">
      <c r="C254" s="249" t="s">
        <v>293</v>
      </c>
      <c r="D254" s="249">
        <f>+'MAR 24'!K36</f>
        <v>5256</v>
      </c>
      <c r="E254" s="249"/>
      <c r="F254" s="249" t="s">
        <v>67</v>
      </c>
      <c r="G254" s="249"/>
      <c r="H254" s="249">
        <v>0</v>
      </c>
    </row>
    <row r="255" spans="3:8">
      <c r="C255" s="249" t="s">
        <v>107</v>
      </c>
      <c r="D255" s="249">
        <v>0</v>
      </c>
      <c r="E255" s="249"/>
      <c r="F255" s="249" t="s">
        <v>66</v>
      </c>
      <c r="G255" s="249"/>
      <c r="H255" s="249">
        <v>0</v>
      </c>
    </row>
    <row r="256" spans="3:8">
      <c r="C256" s="249" t="s">
        <v>108</v>
      </c>
      <c r="D256" s="249">
        <v>0</v>
      </c>
      <c r="E256" s="249"/>
      <c r="F256" s="249" t="s">
        <v>142</v>
      </c>
      <c r="G256" s="249"/>
      <c r="H256" s="249">
        <v>0</v>
      </c>
    </row>
    <row r="257" spans="2:8">
      <c r="C257" s="249" t="s">
        <v>117</v>
      </c>
      <c r="D257" s="249">
        <v>0</v>
      </c>
      <c r="E257" s="249"/>
      <c r="F257" s="249"/>
      <c r="G257" s="249"/>
      <c r="H257" s="249"/>
    </row>
    <row r="258" spans="2:8">
      <c r="C258" s="252"/>
      <c r="D258" s="253"/>
      <c r="E258" s="253"/>
      <c r="F258" s="253"/>
      <c r="G258" s="253"/>
      <c r="H258" s="254"/>
    </row>
    <row r="259" spans="2:8">
      <c r="C259" s="252" t="s">
        <v>135</v>
      </c>
      <c r="D259" s="253">
        <f>SUM(D249:D258)</f>
        <v>71810</v>
      </c>
      <c r="E259" s="255"/>
      <c r="F259" s="253"/>
      <c r="G259" s="253"/>
      <c r="H259" s="465">
        <f>SUM(H249:H258)</f>
        <v>8182.48</v>
      </c>
    </row>
    <row r="260" spans="2:8" ht="16.5" thickBot="1">
      <c r="C260" s="256" t="s">
        <v>19</v>
      </c>
      <c r="D260" s="257"/>
      <c r="E260" s="257">
        <f>+D259-H259</f>
        <v>63627.520000000004</v>
      </c>
      <c r="F260" s="257"/>
      <c r="G260" s="257"/>
      <c r="H260" s="258"/>
    </row>
    <row r="263" spans="2:8">
      <c r="B263" s="219"/>
      <c r="C263" s="219" t="s">
        <v>46</v>
      </c>
      <c r="D263" s="17"/>
      <c r="E263" s="219"/>
      <c r="F263" s="219"/>
    </row>
    <row r="264" spans="2:8">
      <c r="B264" s="219"/>
      <c r="C264" s="219" t="s">
        <v>50</v>
      </c>
      <c r="D264" s="17"/>
      <c r="E264" s="219"/>
      <c r="F264" s="219"/>
    </row>
    <row r="265" spans="2:8">
      <c r="B265" s="219"/>
    </row>
    <row r="266" spans="2:8" ht="31.5">
      <c r="B266" s="219"/>
      <c r="C266" s="249" t="s">
        <v>62</v>
      </c>
      <c r="D266" s="262" t="str">
        <f>+'MAR 24'!B41</f>
        <v>Ms Chanmeet Kaur (21d)</v>
      </c>
      <c r="E266" s="249"/>
      <c r="F266" s="249"/>
      <c r="G266" s="249" t="s">
        <v>47</v>
      </c>
      <c r="H266" s="263">
        <f>+BAdvice!C10</f>
        <v>45352</v>
      </c>
    </row>
    <row r="267" spans="2:8">
      <c r="B267" s="219"/>
      <c r="C267" s="249" t="s">
        <v>61</v>
      </c>
      <c r="D267" s="250" t="s">
        <v>234</v>
      </c>
      <c r="E267" s="249"/>
      <c r="F267" s="249"/>
      <c r="G267" s="249"/>
      <c r="H267" s="249"/>
    </row>
    <row r="268" spans="2:8">
      <c r="B268" s="219"/>
      <c r="C268" s="249" t="s">
        <v>53</v>
      </c>
      <c r="D268" s="20">
        <f>+BAdvice!C38</f>
        <v>65273794532</v>
      </c>
      <c r="E268" s="249"/>
      <c r="F268" s="249"/>
      <c r="G268" s="249" t="s">
        <v>54</v>
      </c>
      <c r="H268" s="249"/>
    </row>
    <row r="269" spans="2:8">
      <c r="B269" s="219"/>
      <c r="C269" s="249" t="s">
        <v>52</v>
      </c>
      <c r="D269" s="249" t="s">
        <v>68</v>
      </c>
      <c r="E269" s="249"/>
      <c r="F269" s="249"/>
      <c r="G269" s="249" t="s">
        <v>63</v>
      </c>
      <c r="H269" s="249"/>
    </row>
    <row r="270" spans="2:8">
      <c r="B270" s="219"/>
      <c r="C270" s="252"/>
      <c r="D270" s="253"/>
      <c r="E270" s="253"/>
      <c r="F270" s="253"/>
      <c r="G270" s="253"/>
      <c r="H270" s="254"/>
    </row>
    <row r="271" spans="2:8">
      <c r="B271" s="219"/>
      <c r="C271" s="249" t="s">
        <v>65</v>
      </c>
      <c r="D271" s="249"/>
      <c r="E271" s="249"/>
      <c r="F271" s="249" t="s">
        <v>55</v>
      </c>
      <c r="G271" s="249"/>
      <c r="H271" s="249"/>
    </row>
    <row r="272" spans="2:8">
      <c r="B272" s="219"/>
      <c r="C272" s="249"/>
      <c r="D272" s="249"/>
      <c r="E272" s="249"/>
      <c r="F272" s="249"/>
      <c r="G272" s="249"/>
      <c r="H272" s="249"/>
    </row>
    <row r="273" spans="2:8">
      <c r="B273" s="219"/>
      <c r="C273" s="249" t="s">
        <v>134</v>
      </c>
      <c r="D273" s="249">
        <f>+'MAR 24'!N41</f>
        <v>17500</v>
      </c>
      <c r="E273" s="249"/>
      <c r="F273" s="249" t="s">
        <v>11</v>
      </c>
      <c r="G273" s="249"/>
      <c r="H273" s="362">
        <f>+'MAR 24'!O41</f>
        <v>2100</v>
      </c>
    </row>
    <row r="274" spans="2:8">
      <c r="B274" s="219"/>
      <c r="C274" s="249" t="s">
        <v>57</v>
      </c>
      <c r="D274" s="249">
        <v>0</v>
      </c>
      <c r="E274" s="249"/>
      <c r="F274" s="249" t="s">
        <v>48</v>
      </c>
      <c r="G274" s="249"/>
      <c r="H274" s="249">
        <v>0</v>
      </c>
    </row>
    <row r="275" spans="2:8">
      <c r="B275" s="219"/>
      <c r="C275" s="249" t="s">
        <v>8</v>
      </c>
      <c r="D275" s="249">
        <v>0</v>
      </c>
      <c r="E275" s="249"/>
      <c r="F275" s="249" t="s">
        <v>18</v>
      </c>
      <c r="G275" s="249"/>
      <c r="H275" s="249">
        <v>0</v>
      </c>
    </row>
    <row r="276" spans="2:8">
      <c r="B276" s="219"/>
      <c r="C276" s="249" t="s">
        <v>9</v>
      </c>
      <c r="D276" s="249">
        <v>0</v>
      </c>
      <c r="E276" s="249"/>
      <c r="F276" s="249" t="s">
        <v>13</v>
      </c>
      <c r="G276" s="249"/>
      <c r="H276" s="249">
        <v>110</v>
      </c>
    </row>
    <row r="277" spans="2:8">
      <c r="B277" s="219"/>
      <c r="C277" s="249" t="s">
        <v>59</v>
      </c>
      <c r="D277" s="249">
        <v>0</v>
      </c>
      <c r="E277" s="249"/>
      <c r="F277" s="249" t="s">
        <v>58</v>
      </c>
      <c r="G277" s="249"/>
      <c r="H277" s="249">
        <v>0</v>
      </c>
    </row>
    <row r="278" spans="2:8">
      <c r="B278" s="219"/>
      <c r="C278" s="249" t="s">
        <v>291</v>
      </c>
      <c r="D278" s="249">
        <v>0</v>
      </c>
      <c r="E278" s="249"/>
      <c r="F278" s="249" t="s">
        <v>67</v>
      </c>
      <c r="G278" s="249"/>
      <c r="H278" s="249">
        <v>0</v>
      </c>
    </row>
    <row r="279" spans="2:8">
      <c r="B279" s="219"/>
      <c r="C279" s="249" t="s">
        <v>107</v>
      </c>
      <c r="D279" s="249">
        <v>0</v>
      </c>
      <c r="E279" s="249"/>
      <c r="F279" s="249" t="s">
        <v>66</v>
      </c>
      <c r="G279" s="249"/>
      <c r="H279" s="249">
        <v>0</v>
      </c>
    </row>
    <row r="280" spans="2:8">
      <c r="B280" s="219"/>
      <c r="C280" s="249" t="s">
        <v>108</v>
      </c>
      <c r="D280" s="249">
        <v>0</v>
      </c>
      <c r="E280" s="249"/>
      <c r="F280" s="249" t="s">
        <v>142</v>
      </c>
      <c r="G280" s="249"/>
      <c r="H280" s="249">
        <v>0</v>
      </c>
    </row>
    <row r="281" spans="2:8">
      <c r="B281" s="219"/>
      <c r="C281" s="249" t="s">
        <v>117</v>
      </c>
      <c r="D281" s="249">
        <v>0</v>
      </c>
      <c r="E281" s="249"/>
      <c r="F281" s="249"/>
      <c r="G281" s="249"/>
      <c r="H281" s="249"/>
    </row>
    <row r="282" spans="2:8">
      <c r="B282" s="219"/>
      <c r="C282" s="252"/>
      <c r="D282" s="253"/>
      <c r="E282" s="253"/>
      <c r="F282" s="253"/>
      <c r="G282" s="253"/>
      <c r="H282" s="254"/>
    </row>
    <row r="283" spans="2:8" ht="16.5" thickBot="1">
      <c r="B283" s="219"/>
      <c r="C283" s="252" t="s">
        <v>135</v>
      </c>
      <c r="D283" s="466">
        <f>SUM(D273:D282)</f>
        <v>17500</v>
      </c>
      <c r="E283" s="255"/>
      <c r="F283" s="253"/>
      <c r="G283" s="253"/>
      <c r="H283" s="465">
        <f>SUM(H273:H282)</f>
        <v>2210</v>
      </c>
    </row>
    <row r="284" spans="2:8" ht="16.5" thickBot="1">
      <c r="B284" s="219"/>
      <c r="C284" s="256" t="s">
        <v>19</v>
      </c>
      <c r="D284" s="257"/>
      <c r="E284" s="466">
        <f>+D283-H283</f>
        <v>15290</v>
      </c>
      <c r="F284" s="257"/>
      <c r="G284" s="257"/>
      <c r="H284" s="258"/>
    </row>
    <row r="287" spans="2:8">
      <c r="B287" s="219"/>
      <c r="C287" s="219" t="s">
        <v>46</v>
      </c>
      <c r="D287" s="17"/>
      <c r="E287" s="219"/>
      <c r="F287" s="219"/>
    </row>
    <row r="288" spans="2:8">
      <c r="B288" s="219"/>
      <c r="C288" s="219" t="s">
        <v>50</v>
      </c>
      <c r="D288" s="17"/>
      <c r="E288" s="219"/>
      <c r="F288" s="219"/>
    </row>
    <row r="289" spans="2:8">
      <c r="B289" s="219"/>
    </row>
    <row r="290" spans="2:8" ht="31.5">
      <c r="B290" s="219"/>
      <c r="C290" s="249" t="s">
        <v>62</v>
      </c>
      <c r="D290" s="262" t="str">
        <f>+'MAR 24'!B42</f>
        <v>Mr Rishav Thakur</v>
      </c>
      <c r="E290" s="249"/>
      <c r="F290" s="249"/>
      <c r="G290" s="249" t="s">
        <v>47</v>
      </c>
      <c r="H290" s="263">
        <f>+BAdvice!C10</f>
        <v>45352</v>
      </c>
    </row>
    <row r="291" spans="2:8">
      <c r="B291" s="219"/>
      <c r="C291" s="249" t="s">
        <v>61</v>
      </c>
      <c r="D291" s="250" t="s">
        <v>234</v>
      </c>
      <c r="E291" s="249"/>
      <c r="F291" s="249"/>
      <c r="G291" s="249"/>
      <c r="H291" s="249"/>
    </row>
    <row r="292" spans="2:8">
      <c r="B292" s="219"/>
      <c r="C292" s="249" t="s">
        <v>53</v>
      </c>
      <c r="D292" s="20">
        <f>+BAdvice!C39</f>
        <v>40496516146</v>
      </c>
      <c r="E292" s="249"/>
      <c r="F292" s="249"/>
      <c r="G292" s="249" t="s">
        <v>54</v>
      </c>
      <c r="H292" s="249"/>
    </row>
    <row r="293" spans="2:8">
      <c r="B293" s="219"/>
      <c r="C293" s="249" t="s">
        <v>52</v>
      </c>
      <c r="D293" s="249" t="s">
        <v>68</v>
      </c>
      <c r="E293" s="249"/>
      <c r="F293" s="249"/>
      <c r="G293" s="249" t="s">
        <v>63</v>
      </c>
      <c r="H293" s="249"/>
    </row>
    <row r="294" spans="2:8">
      <c r="B294" s="219"/>
      <c r="C294" s="252"/>
      <c r="D294" s="253"/>
      <c r="E294" s="253"/>
      <c r="F294" s="253"/>
      <c r="G294" s="253"/>
      <c r="H294" s="254"/>
    </row>
    <row r="295" spans="2:8">
      <c r="B295" s="219"/>
      <c r="C295" s="249" t="s">
        <v>65</v>
      </c>
      <c r="D295" s="249"/>
      <c r="E295" s="249"/>
      <c r="F295" s="249" t="s">
        <v>55</v>
      </c>
      <c r="G295" s="249"/>
      <c r="H295" s="249"/>
    </row>
    <row r="296" spans="2:8">
      <c r="B296" s="219"/>
      <c r="C296" s="249"/>
      <c r="D296" s="249"/>
      <c r="E296" s="249"/>
      <c r="F296" s="249"/>
      <c r="G296" s="249"/>
      <c r="H296" s="249"/>
    </row>
    <row r="297" spans="2:8">
      <c r="B297" s="219"/>
      <c r="C297" s="249" t="s">
        <v>134</v>
      </c>
      <c r="D297" s="249">
        <f>+'MAR 24'!N42</f>
        <v>17500</v>
      </c>
      <c r="E297" s="249"/>
      <c r="F297" s="249" t="s">
        <v>11</v>
      </c>
      <c r="G297" s="249"/>
      <c r="H297" s="362">
        <f>+'MAR 24'!O42</f>
        <v>2100</v>
      </c>
    </row>
    <row r="298" spans="2:8">
      <c r="B298" s="219"/>
      <c r="C298" s="249" t="s">
        <v>57</v>
      </c>
      <c r="D298" s="249">
        <v>0</v>
      </c>
      <c r="E298" s="249"/>
      <c r="F298" s="249" t="s">
        <v>48</v>
      </c>
      <c r="G298" s="249"/>
      <c r="H298" s="249">
        <v>0</v>
      </c>
    </row>
    <row r="299" spans="2:8">
      <c r="B299" s="219"/>
      <c r="C299" s="249" t="s">
        <v>8</v>
      </c>
      <c r="D299" s="249">
        <v>0</v>
      </c>
      <c r="E299" s="249"/>
      <c r="F299" s="249" t="s">
        <v>18</v>
      </c>
      <c r="G299" s="249"/>
      <c r="H299" s="249">
        <v>0</v>
      </c>
    </row>
    <row r="300" spans="2:8">
      <c r="B300" s="219"/>
      <c r="C300" s="249" t="s">
        <v>9</v>
      </c>
      <c r="D300" s="249">
        <v>0</v>
      </c>
      <c r="E300" s="249"/>
      <c r="F300" s="249" t="s">
        <v>13</v>
      </c>
      <c r="G300" s="249"/>
      <c r="H300" s="249">
        <v>110</v>
      </c>
    </row>
    <row r="301" spans="2:8">
      <c r="B301" s="219"/>
      <c r="C301" s="249" t="s">
        <v>59</v>
      </c>
      <c r="D301" s="249">
        <v>0</v>
      </c>
      <c r="E301" s="249"/>
      <c r="F301" s="249" t="s">
        <v>58</v>
      </c>
      <c r="G301" s="249"/>
      <c r="H301" s="249">
        <v>0</v>
      </c>
    </row>
    <row r="302" spans="2:8">
      <c r="B302" s="219"/>
      <c r="C302" s="249" t="s">
        <v>291</v>
      </c>
      <c r="D302" s="249">
        <v>0</v>
      </c>
      <c r="E302" s="249"/>
      <c r="F302" s="249" t="s">
        <v>67</v>
      </c>
      <c r="G302" s="249"/>
      <c r="H302" s="249">
        <v>0</v>
      </c>
    </row>
    <row r="303" spans="2:8">
      <c r="B303" s="219"/>
      <c r="C303" s="249" t="s">
        <v>107</v>
      </c>
      <c r="D303" s="249">
        <v>0</v>
      </c>
      <c r="E303" s="249"/>
      <c r="F303" s="249" t="s">
        <v>66</v>
      </c>
      <c r="G303" s="249"/>
      <c r="H303" s="249">
        <v>0</v>
      </c>
    </row>
    <row r="304" spans="2:8">
      <c r="B304" s="219"/>
      <c r="C304" s="249" t="s">
        <v>108</v>
      </c>
      <c r="D304" s="249">
        <v>0</v>
      </c>
      <c r="E304" s="249"/>
      <c r="F304" s="249" t="s">
        <v>142</v>
      </c>
      <c r="G304" s="249"/>
      <c r="H304" s="249">
        <v>0</v>
      </c>
    </row>
    <row r="305" spans="2:8">
      <c r="B305" s="219"/>
      <c r="C305" s="249" t="s">
        <v>117</v>
      </c>
      <c r="D305" s="249">
        <v>0</v>
      </c>
      <c r="E305" s="249"/>
      <c r="F305" s="249"/>
      <c r="G305" s="249"/>
      <c r="H305" s="249"/>
    </row>
    <row r="306" spans="2:8">
      <c r="B306" s="219"/>
      <c r="C306" s="252"/>
      <c r="D306" s="253"/>
      <c r="E306" s="253"/>
      <c r="F306" s="253"/>
      <c r="G306" s="253"/>
      <c r="H306" s="254"/>
    </row>
    <row r="307" spans="2:8" ht="16.5" thickBot="1">
      <c r="B307" s="219"/>
      <c r="C307" s="252" t="s">
        <v>135</v>
      </c>
      <c r="D307" s="466">
        <f>SUM(D297:D306)</f>
        <v>17500</v>
      </c>
      <c r="E307" s="255"/>
      <c r="F307" s="253"/>
      <c r="G307" s="253"/>
      <c r="H307" s="465">
        <f>SUM(H297:H306)</f>
        <v>2210</v>
      </c>
    </row>
    <row r="308" spans="2:8" ht="16.5" thickBot="1">
      <c r="B308" s="219"/>
      <c r="C308" s="256" t="s">
        <v>19</v>
      </c>
      <c r="D308" s="257"/>
      <c r="E308" s="466">
        <f>+D307-H307</f>
        <v>15290</v>
      </c>
      <c r="F308" s="257"/>
      <c r="G308" s="257"/>
      <c r="H308" s="258"/>
    </row>
  </sheetData>
  <pageMargins left="0.51181102362204722" right="0.70866141732283472" top="0.27559055118110237" bottom="0.31496062992125984" header="0.23622047244094491" footer="0.31496062992125984"/>
  <pageSetup paperSize="9" scale="2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I73"/>
  <sheetViews>
    <sheetView topLeftCell="A10" zoomScale="70" zoomScaleNormal="70" workbookViewId="0">
      <selection activeCell="G37" sqref="G37"/>
    </sheetView>
  </sheetViews>
  <sheetFormatPr defaultRowHeight="15"/>
  <cols>
    <col min="3" max="3" width="38.28515625" customWidth="1"/>
    <col min="4" max="4" width="21.140625" customWidth="1"/>
    <col min="6" max="7" width="9.140625" style="66"/>
    <col min="8" max="8" width="29.7109375" style="66" customWidth="1"/>
    <col min="9" max="9" width="9.140625" style="66"/>
  </cols>
  <sheetData>
    <row r="1" spans="3:9" s="219" customFormat="1" ht="15.75">
      <c r="C1" s="88"/>
      <c r="D1" s="116" t="s">
        <v>312</v>
      </c>
      <c r="F1" s="66"/>
      <c r="G1" s="66"/>
      <c r="H1" s="66"/>
      <c r="I1" s="66"/>
    </row>
    <row r="2" spans="3:9" s="219" customFormat="1" ht="15.75">
      <c r="C2" s="274" t="s">
        <v>124</v>
      </c>
      <c r="D2" s="88"/>
      <c r="E2" s="116"/>
      <c r="F2" s="66"/>
      <c r="G2" s="66"/>
      <c r="H2" s="66"/>
      <c r="I2" s="66"/>
    </row>
    <row r="3" spans="3:9" s="219" customFormat="1" ht="16.5" thickBot="1">
      <c r="C3" s="88"/>
      <c r="D3" s="88"/>
      <c r="E3" s="116"/>
      <c r="F3" s="66"/>
      <c r="G3" s="66"/>
      <c r="H3" s="66"/>
      <c r="I3" s="66"/>
    </row>
    <row r="4" spans="3:9" s="219" customFormat="1" ht="18.75">
      <c r="C4" s="273" t="s">
        <v>123</v>
      </c>
      <c r="D4" s="264" t="s">
        <v>145</v>
      </c>
      <c r="F4" s="66"/>
      <c r="G4" s="66"/>
      <c r="H4" s="156"/>
      <c r="I4" s="66"/>
    </row>
    <row r="5" spans="3:9" ht="15.75" thickBot="1">
      <c r="D5" s="345"/>
      <c r="F5" s="344"/>
    </row>
    <row r="6" spans="3:9" ht="19.5" thickBot="1">
      <c r="C6" s="143" t="s">
        <v>15</v>
      </c>
      <c r="D6" s="147" t="s">
        <v>18</v>
      </c>
      <c r="H6" s="157"/>
      <c r="I6" s="157"/>
    </row>
    <row r="7" spans="3:9" ht="18.75">
      <c r="C7" s="226" t="s">
        <v>1</v>
      </c>
      <c r="D7" s="222">
        <v>60</v>
      </c>
      <c r="F7" s="224"/>
      <c r="H7" s="205"/>
      <c r="I7" s="224"/>
    </row>
    <row r="8" spans="3:9" ht="18.75">
      <c r="C8" s="226" t="s">
        <v>112</v>
      </c>
      <c r="D8" s="222">
        <v>60</v>
      </c>
      <c r="F8" s="224"/>
      <c r="H8" s="205"/>
      <c r="I8" s="224"/>
    </row>
    <row r="9" spans="3:9" ht="18.75" hidden="1">
      <c r="C9" s="226"/>
      <c r="D9" s="222"/>
      <c r="F9" s="224"/>
      <c r="H9" s="205"/>
      <c r="I9" s="224"/>
    </row>
    <row r="10" spans="3:9" ht="18.75">
      <c r="C10" s="226" t="s">
        <v>75</v>
      </c>
      <c r="D10" s="222">
        <v>60</v>
      </c>
      <c r="F10" s="224"/>
      <c r="H10" s="205"/>
      <c r="I10" s="224"/>
    </row>
    <row r="11" spans="3:9" ht="18.75">
      <c r="C11" s="226" t="s">
        <v>5</v>
      </c>
      <c r="D11" s="222">
        <v>60</v>
      </c>
      <c r="F11" s="224"/>
      <c r="H11" s="205"/>
      <c r="I11" s="224"/>
    </row>
    <row r="12" spans="3:9" ht="18.75">
      <c r="C12" s="226" t="s">
        <v>2</v>
      </c>
      <c r="D12" s="222">
        <v>45</v>
      </c>
      <c r="F12" s="224"/>
      <c r="H12" s="205"/>
      <c r="I12" s="224"/>
    </row>
    <row r="13" spans="3:9" ht="18.75">
      <c r="C13" s="226" t="s">
        <v>129</v>
      </c>
      <c r="D13" s="222">
        <v>45</v>
      </c>
      <c r="F13" s="224"/>
      <c r="H13" s="205"/>
      <c r="I13" s="224"/>
    </row>
    <row r="14" spans="3:9" ht="18.75">
      <c r="C14" s="226" t="s">
        <v>143</v>
      </c>
      <c r="D14" s="222">
        <v>45</v>
      </c>
      <c r="F14" s="224"/>
      <c r="H14" s="205"/>
      <c r="I14" s="224"/>
    </row>
    <row r="15" spans="3:9" ht="18.75">
      <c r="C15" s="226" t="s">
        <v>23</v>
      </c>
      <c r="D15" s="222">
        <v>30</v>
      </c>
      <c r="F15" s="224"/>
      <c r="H15" s="205"/>
      <c r="I15" s="224"/>
    </row>
    <row r="16" spans="3:9" ht="18.75">
      <c r="C16" s="226" t="s">
        <v>115</v>
      </c>
      <c r="D16" s="222">
        <v>30</v>
      </c>
      <c r="F16" s="224"/>
      <c r="H16" s="205"/>
      <c r="I16" s="224"/>
    </row>
    <row r="17" spans="3:9" ht="18.75">
      <c r="C17" s="226" t="s">
        <v>22</v>
      </c>
      <c r="D17" s="222">
        <v>30</v>
      </c>
      <c r="F17" s="224"/>
      <c r="H17" s="205"/>
      <c r="I17" s="224"/>
    </row>
    <row r="18" spans="3:9" ht="18.75">
      <c r="C18" s="243" t="s">
        <v>131</v>
      </c>
      <c r="D18" s="244">
        <v>30</v>
      </c>
      <c r="F18" s="324"/>
      <c r="H18" s="323"/>
      <c r="I18" s="324"/>
    </row>
    <row r="19" spans="3:9" ht="18.75" hidden="1">
      <c r="C19" s="226" t="s">
        <v>127</v>
      </c>
      <c r="D19" s="222"/>
      <c r="F19" s="224"/>
    </row>
    <row r="20" spans="3:9" ht="18.75" hidden="1">
      <c r="C20" s="226" t="s">
        <v>126</v>
      </c>
      <c r="D20" s="222"/>
      <c r="F20" s="224"/>
    </row>
    <row r="21" spans="3:9" ht="18.75" hidden="1">
      <c r="C21" s="226" t="s">
        <v>140</v>
      </c>
      <c r="D21" s="222"/>
      <c r="F21" s="224"/>
    </row>
    <row r="22" spans="3:9" ht="18.75" hidden="1">
      <c r="C22" s="265" t="s">
        <v>141</v>
      </c>
      <c r="D22" s="222"/>
      <c r="F22" s="224"/>
    </row>
    <row r="23" spans="3:9" ht="18.75" hidden="1">
      <c r="C23" s="226" t="s">
        <v>130</v>
      </c>
      <c r="D23" s="222"/>
      <c r="F23" s="224"/>
    </row>
    <row r="24" spans="3:9" ht="18.75">
      <c r="C24" s="226" t="s">
        <v>6</v>
      </c>
      <c r="D24" s="222">
        <v>15</v>
      </c>
      <c r="F24" s="224"/>
      <c r="H24" s="205"/>
      <c r="I24" s="224"/>
    </row>
    <row r="25" spans="3:9" s="219" customFormat="1" ht="18.75" hidden="1">
      <c r="C25" s="226"/>
      <c r="D25" s="222"/>
      <c r="F25" s="224"/>
      <c r="G25" s="66"/>
      <c r="H25" s="205"/>
      <c r="I25" s="224"/>
    </row>
    <row r="26" spans="3:9" ht="18.75">
      <c r="C26" s="226" t="s">
        <v>7</v>
      </c>
      <c r="D26" s="222">
        <v>15</v>
      </c>
      <c r="F26" s="224"/>
      <c r="H26" s="268"/>
      <c r="I26" s="325"/>
    </row>
    <row r="27" spans="3:9" ht="18.75">
      <c r="C27" s="270" t="s">
        <v>114</v>
      </c>
      <c r="D27" s="271">
        <v>60</v>
      </c>
      <c r="F27" s="325"/>
    </row>
    <row r="28" spans="3:9">
      <c r="D28" s="246">
        <f>SUM(D7:D27)</f>
        <v>585</v>
      </c>
      <c r="E28" s="221"/>
      <c r="F28" s="86"/>
      <c r="G28" s="86"/>
      <c r="I28" s="86"/>
    </row>
    <row r="30" spans="3:9" ht="18.75">
      <c r="I30" s="157"/>
    </row>
    <row r="31" spans="3:9" ht="18.75">
      <c r="I31" s="224"/>
    </row>
    <row r="32" spans="3:9" ht="18.75">
      <c r="I32" s="224"/>
    </row>
    <row r="33" spans="9:9" ht="18.75">
      <c r="I33" s="224"/>
    </row>
    <row r="34" spans="9:9" ht="18.75">
      <c r="I34" s="224"/>
    </row>
    <row r="35" spans="9:9" ht="18.75">
      <c r="I35" s="224"/>
    </row>
    <row r="36" spans="9:9" ht="18.75">
      <c r="I36" s="224"/>
    </row>
    <row r="37" spans="9:9" ht="18.75">
      <c r="I37" s="225"/>
    </row>
    <row r="38" spans="9:9" ht="18.75">
      <c r="I38" s="224"/>
    </row>
    <row r="39" spans="9:9" ht="18.75">
      <c r="I39" s="351"/>
    </row>
    <row r="40" spans="9:9" ht="18.75">
      <c r="I40" s="176"/>
    </row>
    <row r="41" spans="9:9" ht="18.75">
      <c r="I41" s="224"/>
    </row>
    <row r="42" spans="9:9" ht="18.75">
      <c r="I42" s="224"/>
    </row>
    <row r="43" spans="9:9" ht="18.75">
      <c r="I43" s="224"/>
    </row>
    <row r="44" spans="9:9" ht="18.75">
      <c r="I44" s="224"/>
    </row>
    <row r="45" spans="9:9" ht="18.75">
      <c r="I45" s="225"/>
    </row>
    <row r="46" spans="9:9" ht="18.75">
      <c r="I46" s="224"/>
    </row>
    <row r="47" spans="9:9" ht="18.75">
      <c r="I47" s="224"/>
    </row>
    <row r="48" spans="9:9" ht="18.75">
      <c r="I48" s="351"/>
    </row>
    <row r="49" spans="9:9" ht="18.75">
      <c r="I49" s="176"/>
    </row>
    <row r="50" spans="9:9" ht="18.75">
      <c r="I50" s="224"/>
    </row>
    <row r="51" spans="9:9" ht="18.75">
      <c r="I51" s="225"/>
    </row>
    <row r="52" spans="9:9" ht="18.75">
      <c r="I52" s="224"/>
    </row>
    <row r="53" spans="9:9" ht="18.75">
      <c r="I53" s="324"/>
    </row>
    <row r="54" spans="9:9" ht="18.75">
      <c r="I54" s="225"/>
    </row>
    <row r="55" spans="9:9" ht="18.75">
      <c r="I55" s="224"/>
    </row>
    <row r="56" spans="9:9" ht="18.75">
      <c r="I56" s="224"/>
    </row>
    <row r="57" spans="9:9" ht="18.75">
      <c r="I57" s="224"/>
    </row>
    <row r="58" spans="9:9" ht="18.75">
      <c r="I58" s="224"/>
    </row>
    <row r="59" spans="9:9" ht="18.75">
      <c r="I59" s="351"/>
    </row>
    <row r="60" spans="9:9" ht="18.75">
      <c r="I60" s="224"/>
    </row>
    <row r="61" spans="9:9" ht="18.75">
      <c r="I61" s="224"/>
    </row>
    <row r="62" spans="9:9" ht="18.75">
      <c r="I62" s="224"/>
    </row>
    <row r="63" spans="9:9" ht="18.75">
      <c r="I63" s="135"/>
    </row>
    <row r="64" spans="9:9" ht="18.75">
      <c r="I64" s="176"/>
    </row>
    <row r="65" spans="9:9" ht="18.75">
      <c r="I65" s="224"/>
    </row>
    <row r="66" spans="9:9" ht="18.75">
      <c r="I66" s="217"/>
    </row>
    <row r="67" spans="9:9" ht="18.75">
      <c r="I67" s="224"/>
    </row>
    <row r="68" spans="9:9" ht="18.75">
      <c r="I68" s="351"/>
    </row>
    <row r="69" spans="9:9" ht="18.75">
      <c r="I69" s="176"/>
    </row>
    <row r="70" spans="9:9" ht="18.75">
      <c r="I70" s="351"/>
    </row>
    <row r="71" spans="9:9" ht="18.75">
      <c r="I71" s="225"/>
    </row>
    <row r="72" spans="9:9" ht="18.75">
      <c r="I72" s="225"/>
    </row>
    <row r="73" spans="9:9" ht="18.75">
      <c r="I73" s="325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D4:E75"/>
  <sheetViews>
    <sheetView topLeftCell="A13" zoomScale="85" zoomScaleNormal="85" workbookViewId="0">
      <selection activeCell="D4" sqref="D4:E25"/>
    </sheetView>
  </sheetViews>
  <sheetFormatPr defaultRowHeight="18.75"/>
  <cols>
    <col min="4" max="4" width="29.42578125" style="137" customWidth="1"/>
    <col min="5" max="5" width="14.7109375" style="397" customWidth="1"/>
  </cols>
  <sheetData>
    <row r="4" spans="4:5" ht="15">
      <c r="D4" s="584" t="s">
        <v>304</v>
      </c>
    </row>
    <row r="5" spans="4:5">
      <c r="D5" s="143" t="s">
        <v>15</v>
      </c>
      <c r="E5" s="582" t="s">
        <v>303</v>
      </c>
    </row>
    <row r="6" spans="4:5">
      <c r="D6" s="575" t="s">
        <v>1</v>
      </c>
      <c r="E6" s="583">
        <v>45292</v>
      </c>
    </row>
    <row r="7" spans="4:5">
      <c r="D7" s="581" t="s">
        <v>112</v>
      </c>
      <c r="E7" s="583">
        <v>44927</v>
      </c>
    </row>
    <row r="8" spans="4:5">
      <c r="D8" s="575" t="s">
        <v>75</v>
      </c>
      <c r="E8" s="583">
        <v>45108</v>
      </c>
    </row>
    <row r="9" spans="4:5">
      <c r="D9" s="575" t="s">
        <v>5</v>
      </c>
      <c r="E9" s="583">
        <v>45474</v>
      </c>
    </row>
    <row r="10" spans="4:5">
      <c r="D10" s="575" t="s">
        <v>2</v>
      </c>
      <c r="E10" s="583">
        <v>45474</v>
      </c>
    </row>
    <row r="11" spans="4:5">
      <c r="D11" s="575" t="s">
        <v>129</v>
      </c>
      <c r="E11" s="583">
        <v>45474</v>
      </c>
    </row>
    <row r="12" spans="4:5">
      <c r="D12" s="581" t="s">
        <v>143</v>
      </c>
      <c r="E12" s="583">
        <v>44927</v>
      </c>
    </row>
    <row r="13" spans="4:5">
      <c r="D13" s="575" t="s">
        <v>23</v>
      </c>
      <c r="E13" s="583">
        <v>45474</v>
      </c>
    </row>
    <row r="14" spans="4:5">
      <c r="D14" s="575" t="s">
        <v>115</v>
      </c>
      <c r="E14" s="583">
        <v>45474</v>
      </c>
    </row>
    <row r="15" spans="4:5">
      <c r="D15" s="575" t="s">
        <v>22</v>
      </c>
      <c r="E15" s="583">
        <v>45474</v>
      </c>
    </row>
    <row r="16" spans="4:5">
      <c r="D16" s="576" t="s">
        <v>131</v>
      </c>
      <c r="E16" s="583">
        <v>45474</v>
      </c>
    </row>
    <row r="17" spans="4:5">
      <c r="D17" s="575" t="s">
        <v>233</v>
      </c>
      <c r="E17" s="583">
        <v>45474</v>
      </c>
    </row>
    <row r="18" spans="4:5">
      <c r="D18" s="575" t="s">
        <v>126</v>
      </c>
      <c r="E18" s="583">
        <v>45474</v>
      </c>
    </row>
    <row r="19" spans="4:5" ht="31.5">
      <c r="D19" s="580" t="s">
        <v>269</v>
      </c>
      <c r="E19" s="583">
        <v>45292</v>
      </c>
    </row>
    <row r="20" spans="4:5">
      <c r="D20" s="577" t="s">
        <v>141</v>
      </c>
      <c r="E20" s="583">
        <v>45292</v>
      </c>
    </row>
    <row r="21" spans="4:5">
      <c r="D21" s="575" t="s">
        <v>130</v>
      </c>
      <c r="E21" s="583">
        <v>45292</v>
      </c>
    </row>
    <row r="22" spans="4:5">
      <c r="D22" s="575" t="s">
        <v>299</v>
      </c>
      <c r="E22" s="583">
        <v>45292</v>
      </c>
    </row>
    <row r="23" spans="4:5">
      <c r="D23" s="578" t="s">
        <v>300</v>
      </c>
      <c r="E23" s="583">
        <v>45292</v>
      </c>
    </row>
    <row r="24" spans="4:5">
      <c r="D24" s="575"/>
      <c r="E24" s="582"/>
    </row>
    <row r="25" spans="4:5">
      <c r="D25" s="579" t="s">
        <v>100</v>
      </c>
      <c r="E25" s="583">
        <v>45292</v>
      </c>
    </row>
    <row r="26" spans="4:5">
      <c r="D26" s="205"/>
    </row>
    <row r="27" spans="4:5">
      <c r="D27" s="212"/>
    </row>
    <row r="28" spans="4:5">
      <c r="D28" s="205"/>
    </row>
    <row r="29" spans="4:5">
      <c r="D29" s="225"/>
    </row>
    <row r="30" spans="4:5">
      <c r="D30" s="225"/>
    </row>
    <row r="31" spans="4:5">
      <c r="D31" s="229"/>
    </row>
    <row r="32" spans="4:5">
      <c r="D32" s="205"/>
    </row>
    <row r="33" spans="4:4">
      <c r="D33" s="225"/>
    </row>
    <row r="34" spans="4:4">
      <c r="D34" s="205"/>
    </row>
    <row r="35" spans="4:4">
      <c r="D35" s="225"/>
    </row>
    <row r="36" spans="4:4">
      <c r="D36" s="225"/>
    </row>
    <row r="37" spans="4:4">
      <c r="D37" s="225"/>
    </row>
    <row r="38" spans="4:4">
      <c r="D38" s="225"/>
    </row>
    <row r="39" spans="4:4">
      <c r="D39" s="225"/>
    </row>
    <row r="40" spans="4:4">
      <c r="D40" s="205"/>
    </row>
    <row r="41" spans="4:4">
      <c r="D41" s="225"/>
    </row>
    <row r="42" spans="4:4">
      <c r="D42" s="225"/>
    </row>
    <row r="43" spans="4:4">
      <c r="D43" s="225"/>
    </row>
    <row r="44" spans="4:4">
      <c r="D44" s="225"/>
    </row>
    <row r="45" spans="4:4">
      <c r="D45" s="225"/>
    </row>
    <row r="46" spans="4:4">
      <c r="D46" s="225"/>
    </row>
    <row r="47" spans="4:4">
      <c r="D47" s="225"/>
    </row>
    <row r="48" spans="4:4">
      <c r="D48" s="225"/>
    </row>
    <row r="49" spans="4:4">
      <c r="D49" s="225"/>
    </row>
    <row r="50" spans="4:4">
      <c r="D50" s="225"/>
    </row>
    <row r="51" spans="4:4">
      <c r="D51" s="225"/>
    </row>
    <row r="52" spans="4:4">
      <c r="D52" s="225"/>
    </row>
    <row r="53" spans="4:4">
      <c r="D53" s="225"/>
    </row>
    <row r="54" spans="4:4">
      <c r="D54" s="225"/>
    </row>
    <row r="55" spans="4:4">
      <c r="D55" s="225"/>
    </row>
    <row r="56" spans="4:4">
      <c r="D56" s="225"/>
    </row>
    <row r="57" spans="4:4">
      <c r="D57" s="225"/>
    </row>
    <row r="58" spans="4:4">
      <c r="D58" s="225"/>
    </row>
    <row r="59" spans="4:4">
      <c r="D59" s="225"/>
    </row>
    <row r="60" spans="4:4">
      <c r="D60" s="225"/>
    </row>
    <row r="61" spans="4:4">
      <c r="D61" s="225"/>
    </row>
    <row r="62" spans="4:4">
      <c r="D62" s="225"/>
    </row>
    <row r="63" spans="4:4">
      <c r="D63" s="225"/>
    </row>
    <row r="64" spans="4:4">
      <c r="D64" s="225"/>
    </row>
    <row r="65" spans="4:4">
      <c r="D65" s="225"/>
    </row>
    <row r="66" spans="4:4">
      <c r="D66" s="225"/>
    </row>
    <row r="67" spans="4:4">
      <c r="D67" s="225"/>
    </row>
    <row r="68" spans="4:4">
      <c r="D68" s="225"/>
    </row>
    <row r="69" spans="4:4">
      <c r="D69" s="225"/>
    </row>
    <row r="70" spans="4:4">
      <c r="D70" s="225"/>
    </row>
    <row r="71" spans="4:4">
      <c r="D71" s="225"/>
    </row>
    <row r="72" spans="4:4">
      <c r="D72" s="225"/>
    </row>
    <row r="73" spans="4:4">
      <c r="D73" s="225"/>
    </row>
    <row r="74" spans="4:4">
      <c r="D74" s="225"/>
    </row>
    <row r="75" spans="4:4">
      <c r="D75" s="225"/>
    </row>
  </sheetData>
  <pageMargins left="0.70866141732283472" right="0.70866141732283472" top="0.74803149606299213" bottom="0.74803149606299213" header="0.31496062992125984" footer="0.31496062992125984"/>
  <pageSetup paperSize="9" scale="12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C3:D22"/>
  <sheetViews>
    <sheetView workbookViewId="0">
      <selection activeCell="C2" sqref="C2:D23"/>
    </sheetView>
  </sheetViews>
  <sheetFormatPr defaultRowHeight="15"/>
  <cols>
    <col min="3" max="3" width="6.42578125" customWidth="1"/>
    <col min="4" max="4" width="27.5703125" customWidth="1"/>
  </cols>
  <sheetData>
    <row r="3" spans="3:4" ht="15.75">
      <c r="C3" s="410">
        <v>1</v>
      </c>
      <c r="D3" s="587" t="s">
        <v>1</v>
      </c>
    </row>
    <row r="4" spans="3:4" ht="15.75">
      <c r="C4" s="410">
        <v>2</v>
      </c>
      <c r="D4" s="587" t="s">
        <v>112</v>
      </c>
    </row>
    <row r="5" spans="3:4" ht="15.75">
      <c r="C5" s="410">
        <v>3</v>
      </c>
      <c r="D5" s="587" t="s">
        <v>75</v>
      </c>
    </row>
    <row r="6" spans="3:4" ht="15.75">
      <c r="C6" s="410">
        <v>4</v>
      </c>
      <c r="D6" s="587" t="s">
        <v>5</v>
      </c>
    </row>
    <row r="7" spans="3:4" ht="15.75">
      <c r="C7" s="410">
        <v>5</v>
      </c>
      <c r="D7" s="587" t="s">
        <v>2</v>
      </c>
    </row>
    <row r="8" spans="3:4" ht="15.75">
      <c r="C8" s="410">
        <v>6</v>
      </c>
      <c r="D8" s="587" t="s">
        <v>129</v>
      </c>
    </row>
    <row r="9" spans="3:4" ht="15.75">
      <c r="C9" s="410">
        <v>7</v>
      </c>
      <c r="D9" s="587" t="s">
        <v>143</v>
      </c>
    </row>
    <row r="10" spans="3:4">
      <c r="C10" s="410">
        <v>8</v>
      </c>
      <c r="D10" s="590" t="s">
        <v>146</v>
      </c>
    </row>
    <row r="11" spans="3:4" ht="15.75">
      <c r="C11" s="410">
        <v>9</v>
      </c>
      <c r="D11" s="587" t="s">
        <v>23</v>
      </c>
    </row>
    <row r="12" spans="3:4" ht="15.75">
      <c r="C12" s="410">
        <v>10</v>
      </c>
      <c r="D12" s="587" t="s">
        <v>115</v>
      </c>
    </row>
    <row r="13" spans="3:4" ht="15.75">
      <c r="C13" s="410">
        <v>11</v>
      </c>
      <c r="D13" s="587" t="s">
        <v>22</v>
      </c>
    </row>
    <row r="14" spans="3:4" ht="15.75">
      <c r="C14" s="410">
        <v>12</v>
      </c>
      <c r="D14" s="588" t="s">
        <v>131</v>
      </c>
    </row>
    <row r="15" spans="3:4" ht="15.75">
      <c r="C15" s="410">
        <v>13</v>
      </c>
      <c r="D15" s="587" t="s">
        <v>233</v>
      </c>
    </row>
    <row r="16" spans="3:4" ht="15.75">
      <c r="C16" s="410">
        <v>14</v>
      </c>
      <c r="D16" s="587" t="s">
        <v>126</v>
      </c>
    </row>
    <row r="17" spans="3:4">
      <c r="C17" s="410">
        <v>15</v>
      </c>
      <c r="D17" s="590" t="s">
        <v>269</v>
      </c>
    </row>
    <row r="18" spans="3:4" ht="15.75">
      <c r="C18" s="410">
        <v>16</v>
      </c>
      <c r="D18" s="587" t="s">
        <v>141</v>
      </c>
    </row>
    <row r="19" spans="3:4" ht="15.75">
      <c r="C19" s="410">
        <v>17</v>
      </c>
      <c r="D19" s="587" t="s">
        <v>130</v>
      </c>
    </row>
    <row r="20" spans="3:4" ht="15.75">
      <c r="C20" s="410">
        <v>18</v>
      </c>
      <c r="D20" s="587" t="s">
        <v>299</v>
      </c>
    </row>
    <row r="21" spans="3:4" ht="15.75">
      <c r="C21" s="410">
        <v>19</v>
      </c>
      <c r="D21" s="587" t="s">
        <v>300</v>
      </c>
    </row>
    <row r="22" spans="3:4" ht="15.75">
      <c r="C22" s="410">
        <v>20</v>
      </c>
      <c r="D22" s="589" t="s">
        <v>268</v>
      </c>
    </row>
  </sheetData>
  <pageMargins left="0.70866141732283472" right="0.70866141732283472" top="0.74803149606299213" bottom="0.74803149606299213" header="0.31496062992125984" footer="0.31496062992125984"/>
  <pageSetup paperSize="9" scale="11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MAR 24</vt:lpstr>
      <vt:lpstr>Reco</vt:lpstr>
      <vt:lpstr>NEW EPF SHEET</vt:lpstr>
      <vt:lpstr>BAdvice</vt:lpstr>
      <vt:lpstr>SALARY SLIPS</vt:lpstr>
      <vt:lpstr>slip II</vt:lpstr>
      <vt:lpstr>GI</vt:lpstr>
      <vt:lpstr>DATE OF INC</vt:lpstr>
      <vt:lpstr>Sheet5</vt:lpstr>
      <vt:lpstr>old tax</vt:lpstr>
      <vt:lpstr>12 A</vt:lpstr>
      <vt:lpstr>Sheet1</vt:lpstr>
      <vt:lpstr>Sheet2</vt:lpstr>
      <vt:lpstr>BAdvice!Print_Area</vt:lpstr>
      <vt:lpstr>'MAR 24'!Print_Area</vt:lpstr>
      <vt:lpstr>Reco!Print_Area</vt:lpstr>
      <vt:lpstr>'SALARY SLIPS'!Print_Area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2014-08-28T03:57:37Z</cp:lastPrinted>
  <dcterms:created xsi:type="dcterms:W3CDTF">2006-09-16T00:00:00Z</dcterms:created>
  <dcterms:modified xsi:type="dcterms:W3CDTF">2024-04-02T05:00:51Z</dcterms:modified>
</cp:coreProperties>
</file>